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N:\WAV Resources\Documents for Upload\JR1348 Zielemans WAV\"/>
    </mc:Choice>
  </mc:AlternateContent>
  <xr:revisionPtr revIDLastSave="0" documentId="13_ncr:1_{12CFC285-A60E-4F55-BEB9-C105821770EC}" xr6:coauthVersionLast="37" xr6:coauthVersionMax="37" xr10:uidLastSave="{00000000-0000-0000-0000-000000000000}"/>
  <bookViews>
    <workbookView xWindow="0" yWindow="0" windowWidth="10185" windowHeight="11235" xr2:uid="{00000000-000D-0000-FFFF-FFFF00000000}"/>
  </bookViews>
  <sheets>
    <sheet name="Baseline NPV" sheetId="1" r:id="rId1"/>
    <sheet name="NPV with M&amp;A components" sheetId="2" r:id="rId2"/>
    <sheet name="Graphs" sheetId="3" r:id="rId3"/>
  </sheets>
  <definedNames>
    <definedName name="_xlnm.Print_Area" localSheetId="0">'Baseline NPV'!$A$1:$O$62</definedName>
    <definedName name="_xlnm.Print_Area" localSheetId="2">Graphs!$A$1:$U$69</definedName>
    <definedName name="_xlnm.Print_Area" localSheetId="1">'NPV with M&amp;A components'!$A$1:$O$83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I37" i="2"/>
  <c r="I46" i="2"/>
  <c r="J32" i="2"/>
  <c r="J37" i="2"/>
  <c r="J46" i="2"/>
  <c r="J23" i="2"/>
  <c r="J54" i="2"/>
  <c r="J62" i="2"/>
  <c r="J66" i="2"/>
  <c r="J77" i="2"/>
  <c r="D17" i="3"/>
  <c r="K32" i="2"/>
  <c r="K37" i="2"/>
  <c r="K46" i="2"/>
  <c r="L32" i="2"/>
  <c r="L37" i="2"/>
  <c r="L46" i="2"/>
  <c r="L23" i="2"/>
  <c r="L62" i="2"/>
  <c r="L54" i="2"/>
  <c r="L66" i="2"/>
  <c r="M32" i="2"/>
  <c r="M37" i="2"/>
  <c r="M46" i="2"/>
  <c r="I42" i="1"/>
  <c r="I20" i="1"/>
  <c r="I43" i="1"/>
  <c r="M20" i="1"/>
  <c r="M43" i="1"/>
  <c r="D14" i="3"/>
  <c r="E14" i="3"/>
  <c r="F14" i="3"/>
  <c r="G14" i="3"/>
  <c r="D7" i="3"/>
  <c r="E7" i="3"/>
  <c r="F7" i="3"/>
  <c r="G7" i="3"/>
  <c r="A3" i="3"/>
  <c r="A4" i="3"/>
  <c r="A2" i="3"/>
  <c r="H23" i="2"/>
  <c r="H46" i="2"/>
  <c r="H54" i="2"/>
  <c r="H62" i="2"/>
  <c r="H66" i="2"/>
  <c r="I62" i="2"/>
  <c r="I23" i="2"/>
  <c r="I54" i="2"/>
  <c r="I66" i="2"/>
  <c r="K62" i="2"/>
  <c r="K23" i="2"/>
  <c r="K54" i="2"/>
  <c r="K66" i="2"/>
  <c r="M62" i="2"/>
  <c r="M23" i="2"/>
  <c r="M54" i="2"/>
  <c r="M66" i="2"/>
  <c r="J57" i="2"/>
  <c r="K57" i="2"/>
  <c r="L57" i="2"/>
  <c r="M57" i="2"/>
  <c r="J49" i="2"/>
  <c r="K49" i="2"/>
  <c r="L49" i="2"/>
  <c r="M49" i="2"/>
  <c r="J20" i="1"/>
  <c r="K20" i="1"/>
  <c r="L20" i="1"/>
  <c r="J3" i="2"/>
  <c r="K3" i="2"/>
  <c r="L3" i="2"/>
  <c r="M3" i="2"/>
  <c r="H29" i="1"/>
  <c r="H37" i="1"/>
  <c r="H38" i="1"/>
  <c r="H43" i="1"/>
  <c r="H45" i="1"/>
  <c r="H47" i="1"/>
  <c r="M29" i="1"/>
  <c r="M46" i="1"/>
  <c r="I29" i="1"/>
  <c r="I46" i="1"/>
  <c r="I37" i="1"/>
  <c r="I44" i="1"/>
  <c r="J3" i="1"/>
  <c r="J42" i="1"/>
  <c r="J29" i="1"/>
  <c r="J37" i="1"/>
  <c r="J44" i="1"/>
  <c r="K3" i="1"/>
  <c r="K42" i="1"/>
  <c r="K29" i="1"/>
  <c r="K37" i="1"/>
  <c r="K38" i="1"/>
  <c r="L3" i="1"/>
  <c r="L42" i="1"/>
  <c r="L43" i="1"/>
  <c r="L29" i="1"/>
  <c r="L37" i="1"/>
  <c r="L38" i="1"/>
  <c r="M37" i="1"/>
  <c r="M44" i="1"/>
  <c r="J26" i="2"/>
  <c r="K26" i="2"/>
  <c r="L26" i="2"/>
  <c r="M26" i="2"/>
  <c r="M38" i="1"/>
  <c r="J23" i="1"/>
  <c r="K23" i="1"/>
  <c r="L23" i="1"/>
  <c r="M23" i="1"/>
  <c r="M3" i="1"/>
  <c r="I38" i="1"/>
  <c r="H58" i="1"/>
  <c r="B8" i="3"/>
  <c r="H48" i="1"/>
  <c r="L77" i="2"/>
  <c r="F17" i="3"/>
  <c r="F15" i="3"/>
  <c r="J38" i="1"/>
  <c r="K46" i="1"/>
  <c r="J46" i="1"/>
  <c r="H77" i="2"/>
  <c r="H72" i="2"/>
  <c r="C3" i="3"/>
  <c r="H67" i="2"/>
  <c r="B15" i="3"/>
  <c r="H73" i="2"/>
  <c r="C4" i="3"/>
  <c r="L46" i="1"/>
  <c r="I45" i="1"/>
  <c r="I47" i="1"/>
  <c r="D15" i="3"/>
  <c r="M77" i="2"/>
  <c r="G17" i="3"/>
  <c r="G15" i="3"/>
  <c r="E15" i="3"/>
  <c r="K77" i="2"/>
  <c r="E17" i="3"/>
  <c r="I77" i="2"/>
  <c r="C17" i="3"/>
  <c r="C15" i="3"/>
  <c r="M45" i="1"/>
  <c r="M47" i="1"/>
  <c r="K44" i="1"/>
  <c r="J43" i="1"/>
  <c r="J45" i="1"/>
  <c r="L44" i="1"/>
  <c r="L45" i="1"/>
  <c r="K43" i="1"/>
  <c r="K45" i="1"/>
  <c r="G8" i="3"/>
  <c r="M58" i="1"/>
  <c r="G10" i="3"/>
  <c r="C8" i="3"/>
  <c r="I58" i="1"/>
  <c r="C10" i="3"/>
  <c r="J47" i="1"/>
  <c r="B9" i="3"/>
  <c r="I48" i="1"/>
  <c r="I49" i="1"/>
  <c r="H59" i="1"/>
  <c r="B10" i="3"/>
  <c r="H78" i="2"/>
  <c r="B17" i="3"/>
  <c r="L47" i="1"/>
  <c r="I67" i="2"/>
  <c r="I68" i="2"/>
  <c r="B16" i="3"/>
  <c r="K47" i="1"/>
  <c r="E8" i="3"/>
  <c r="K58" i="1"/>
  <c r="E10" i="3"/>
  <c r="F8" i="3"/>
  <c r="L58" i="1"/>
  <c r="F10" i="3"/>
  <c r="B18" i="3"/>
  <c r="I78" i="2"/>
  <c r="C9" i="3"/>
  <c r="J48" i="1"/>
  <c r="J49" i="1"/>
  <c r="C16" i="3"/>
  <c r="J67" i="2"/>
  <c r="J68" i="2"/>
  <c r="D8" i="3"/>
  <c r="J58" i="1"/>
  <c r="D10" i="3"/>
  <c r="H54" i="1"/>
  <c r="B4" i="3"/>
  <c r="B11" i="3"/>
  <c r="I59" i="1"/>
  <c r="H53" i="1"/>
  <c r="B3" i="3"/>
  <c r="D16" i="3"/>
  <c r="K67" i="2"/>
  <c r="K68" i="2"/>
  <c r="C11" i="3"/>
  <c r="J59" i="1"/>
  <c r="D9" i="3"/>
  <c r="K48" i="1"/>
  <c r="J78" i="2"/>
  <c r="C18" i="3"/>
  <c r="D11" i="3"/>
  <c r="K59" i="1"/>
  <c r="E9" i="3"/>
  <c r="L48" i="1"/>
  <c r="L49" i="1"/>
  <c r="D18" i="3"/>
  <c r="K78" i="2"/>
  <c r="K49" i="1"/>
  <c r="E16" i="3"/>
  <c r="L67" i="2"/>
  <c r="L68" i="2"/>
  <c r="L78" i="2"/>
  <c r="E18" i="3"/>
  <c r="M68" i="2"/>
  <c r="H70" i="2"/>
  <c r="C2" i="3"/>
  <c r="F16" i="3"/>
  <c r="M67" i="2"/>
  <c r="E11" i="3"/>
  <c r="L59" i="1"/>
  <c r="M49" i="1"/>
  <c r="H51" i="1"/>
  <c r="B2" i="3"/>
  <c r="F9" i="3"/>
  <c r="M48" i="1"/>
  <c r="G9" i="3"/>
  <c r="G16" i="3"/>
  <c r="N68" i="2"/>
  <c r="F11" i="3"/>
  <c r="M59" i="1"/>
  <c r="G11" i="3"/>
  <c r="F18" i="3"/>
  <c r="M78" i="2"/>
  <c r="G18" i="3"/>
</calcChain>
</file>

<file path=xl/sharedStrings.xml><?xml version="1.0" encoding="utf-8"?>
<sst xmlns="http://schemas.openxmlformats.org/spreadsheetml/2006/main" count="387" uniqueCount="144">
  <si>
    <t>A.1</t>
  </si>
  <si>
    <t>Hardware</t>
  </si>
  <si>
    <t>a.</t>
  </si>
  <si>
    <t>b.</t>
  </si>
  <si>
    <t>c.</t>
  </si>
  <si>
    <t>A.2</t>
  </si>
  <si>
    <t>Software</t>
  </si>
  <si>
    <t>A.3</t>
  </si>
  <si>
    <t xml:space="preserve">a. </t>
  </si>
  <si>
    <t>B.1</t>
  </si>
  <si>
    <t>B.2</t>
  </si>
  <si>
    <t>d.</t>
  </si>
  <si>
    <t>e.</t>
  </si>
  <si>
    <t>f.</t>
  </si>
  <si>
    <t>B.3</t>
  </si>
  <si>
    <t>C. CASH FLOW</t>
  </si>
  <si>
    <t>C.1</t>
  </si>
  <si>
    <t>C.2</t>
  </si>
  <si>
    <t>C.3</t>
  </si>
  <si>
    <t>C.4</t>
  </si>
  <si>
    <t>C.5</t>
  </si>
  <si>
    <t xml:space="preserve"> </t>
  </si>
  <si>
    <t>D.1.</t>
  </si>
  <si>
    <t>D.2</t>
  </si>
  <si>
    <t>initial</t>
  </si>
  <si>
    <t>year</t>
  </si>
  <si>
    <t>Transtion and transformation</t>
  </si>
  <si>
    <t>Transition</t>
  </si>
  <si>
    <t>Transformation</t>
  </si>
  <si>
    <t>Remarks</t>
  </si>
  <si>
    <t>Facility</t>
  </si>
  <si>
    <t>Exit or retransition costs</t>
  </si>
  <si>
    <t>Asset transfer in case of retransition</t>
  </si>
  <si>
    <t>Exit or retranstition costs</t>
  </si>
  <si>
    <t>Total</t>
  </si>
  <si>
    <t>A. INVESTMENT RELATED</t>
  </si>
  <si>
    <t>B. OPERATIONS RELATED</t>
  </si>
  <si>
    <t>Value of asset transfer to supplier</t>
  </si>
  <si>
    <t>Other benefits</t>
  </si>
  <si>
    <t>Costs transferred to supplier</t>
  </si>
  <si>
    <t>A4.</t>
  </si>
  <si>
    <t>Investments in 'do noting' scenario</t>
  </si>
  <si>
    <t>e.g. upgrading client-owned datacenter</t>
  </si>
  <si>
    <t xml:space="preserve">Value </t>
  </si>
  <si>
    <t>minus</t>
  </si>
  <si>
    <t>plus</t>
  </si>
  <si>
    <t>Operations costs related to outsourcing</t>
  </si>
  <si>
    <t>Benefits related to outsourcing</t>
  </si>
  <si>
    <t>e.g. access to scarce expertise, access to proprietary solutions, flexibility</t>
  </si>
  <si>
    <t>Costs related to retained organization</t>
  </si>
  <si>
    <t>Cost invoiced by supplier for contract</t>
  </si>
  <si>
    <t>Notes:</t>
  </si>
  <si>
    <t>Other cost of client company</t>
  </si>
  <si>
    <t>Other cost invoiced by supplier</t>
  </si>
  <si>
    <t>Any other costs</t>
  </si>
  <si>
    <t>e.g. training and coaching redundant but untransferable employees</t>
  </si>
  <si>
    <t>e.g. improvement projects not part of the base contract</t>
  </si>
  <si>
    <t>Net Operations result (B.1 minus B.2)</t>
  </si>
  <si>
    <t>Sub total</t>
  </si>
  <si>
    <t>Operations costs (excl. interest and depreciation)</t>
  </si>
  <si>
    <t>Total expenditures</t>
  </si>
  <si>
    <t>Operational benefits</t>
  </si>
  <si>
    <t>Net cash flow (C.4 minus C.3)</t>
  </si>
  <si>
    <t>Cumulative net cash flow</t>
  </si>
  <si>
    <t>Time horizon (in years)</t>
  </si>
  <si>
    <t>Weighted Average Cost of Capital (WACC)</t>
  </si>
  <si>
    <t>Internal Rate Of Return (IRR)</t>
  </si>
  <si>
    <t>Payback period (in months)</t>
  </si>
  <si>
    <t>D. Net Present Value of Cash Flow</t>
  </si>
  <si>
    <t>Net present value cash flow = (1/(1+ WACC)**t) * C.5</t>
  </si>
  <si>
    <t>Cumulative net present value cash flow</t>
  </si>
  <si>
    <t>Outsourcing NPV without M&amp;A components</t>
  </si>
  <si>
    <t>Outsourcing NPV with M&amp;A components</t>
  </si>
  <si>
    <t>Only the actual cashflows are taken into account in this example. To calculate accounting profits, non-cash inflows/outflows (e.g. depreciation) should be included in de calculation. The tax shield provided by depreciation is also left out.</t>
  </si>
  <si>
    <t>Investments of 'do nothing'  scenario</t>
  </si>
  <si>
    <t>A. OPTION VALUE CLIENT COMPANY</t>
  </si>
  <si>
    <t>B. INTRINSIC VALUE CLIENT COMPANY</t>
  </si>
  <si>
    <t>Investments to replace end-of-life software owned by client instead of 'as a service'</t>
  </si>
  <si>
    <t>Investments to replace end-of-life hardware owned by client instead of leasing or renting</t>
  </si>
  <si>
    <t>Co-create new value proposition</t>
  </si>
  <si>
    <t>Value co-created with outsourcing partner</t>
  </si>
  <si>
    <t>Access to new customer segments/channels</t>
  </si>
  <si>
    <t>Quantitative effect of improved quality</t>
  </si>
  <si>
    <t>Improved performance/availability</t>
  </si>
  <si>
    <t>Time-to-market improvement</t>
  </si>
  <si>
    <t>Quantitative effect of risk transfer</t>
  </si>
  <si>
    <t>e.g. investering in, on hind sight, the wrong skills, knowledge; hiring too many/few resources.</t>
  </si>
  <si>
    <t>Personnel</t>
  </si>
  <si>
    <t>Facilities</t>
  </si>
  <si>
    <t>e.g. investing in the wrong, too much, too little floor or rack space</t>
  </si>
  <si>
    <t>e.g. investing in the wrong, too much, too little hardware</t>
  </si>
  <si>
    <t>e.g. investing in the wrong, too much, too little software</t>
  </si>
  <si>
    <t>Service mix flexibility</t>
  </si>
  <si>
    <t>e.g. access to broader and deeper IT service portfolio without the need to invest</t>
  </si>
  <si>
    <t>People</t>
  </si>
  <si>
    <t>Value of the knowledge, skill sets and experience of the transferred team members</t>
  </si>
  <si>
    <t>Value of the software transferred to the external outsourcing partner</t>
  </si>
  <si>
    <t>Value of the hardware transferred to the external outsourcing partner</t>
  </si>
  <si>
    <t>Value of the facilities transferred to the external outsourcing partner</t>
  </si>
  <si>
    <t>plus or minus</t>
  </si>
  <si>
    <t>Value of asset transfer and return on re-investment</t>
  </si>
  <si>
    <t>Return on re-investing @ WACC from year 2 onwards</t>
  </si>
  <si>
    <t>Desinvestments/write offs</t>
  </si>
  <si>
    <t>Both internally and charged by external outsourcing partner</t>
  </si>
  <si>
    <t>Both internally (e.g. create retained organization) and charged by external outsourcing partner</t>
  </si>
  <si>
    <t>Retransition: insourcing from external outsourcing partner</t>
  </si>
  <si>
    <t>Net Present Value when calculating with WACC</t>
  </si>
  <si>
    <t>The return on money obtained from the external outsourcing partner for the asset transfer</t>
  </si>
  <si>
    <t>Interest cost @ 1/2 WACC</t>
  </si>
  <si>
    <t>Assuming loaning from a bank @ 1/2 the WACC and repaying none of the principle amount</t>
  </si>
  <si>
    <t>Operations benefits and costs</t>
  </si>
  <si>
    <t>Other quantitative co-creation benefits</t>
  </si>
  <si>
    <t>Other quantitative operational benefits</t>
  </si>
  <si>
    <t>C. EXIT COSTS</t>
  </si>
  <si>
    <t>Exit/transition or retransition</t>
  </si>
  <si>
    <t>D. VALUE RELATED TO SOURCING RISK</t>
  </si>
  <si>
    <t>Reputation/Legal Risk</t>
  </si>
  <si>
    <t>Strategic risk (‘lock-in’)</t>
  </si>
  <si>
    <t>Operational Risk</t>
  </si>
  <si>
    <t>D.1</t>
  </si>
  <si>
    <t>Sourcing-specific risks</t>
  </si>
  <si>
    <t>E. CASH FLOW</t>
  </si>
  <si>
    <t>A.5</t>
  </si>
  <si>
    <t>B.4</t>
  </si>
  <si>
    <t>Net cash flow (A.5 + B.4 + C.2 + D.2)</t>
  </si>
  <si>
    <t>E.1</t>
  </si>
  <si>
    <t>Net present value cash flow = (1/(1+ WACC)**t) * E.1</t>
  </si>
  <si>
    <t>With M&amp;A Components</t>
  </si>
  <si>
    <t>Without M&amp;A Components</t>
  </si>
  <si>
    <t>Net Cash flow</t>
  </si>
  <si>
    <t>Net present value cash flow = (1/(1+ WACC)**t) * initiql investment</t>
  </si>
  <si>
    <t>Internally (e.g. obsolete hardware)</t>
  </si>
  <si>
    <t>e.g. value of software client is able to transfer to external outsourcing partner</t>
  </si>
  <si>
    <t>e.g. value of facilities the external outsourcing partner is willing to buy from client</t>
  </si>
  <si>
    <t>Both internally and from external outsourcing partner</t>
  </si>
  <si>
    <t>All operational cost the client is able to transfer to the external outsourcing partner as part of the contract</t>
  </si>
  <si>
    <t>e.g. value of hardware owned by client transferred to external outsourcing partner</t>
  </si>
  <si>
    <t>Costs transferred to external outsourcing partner</t>
  </si>
  <si>
    <t>Monitary value quality improvements</t>
  </si>
  <si>
    <t>e.g. improved first-time-right, performance, time-to-market</t>
  </si>
  <si>
    <t>Investments + initial operations costs year 0</t>
  </si>
  <si>
    <t>Both internally and from eexternal outsourcing partner</t>
  </si>
  <si>
    <t>Cost invoiced by outsourcing partner for contract</t>
  </si>
  <si>
    <t>e.g. training and coaching redundant but untransferable employees; termination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</si>
</sst>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&quot;&quot;"/>
    <numFmt numFmtId="166" formatCode="0.0%"/>
    <numFmt numFmtId="167" formatCode="_-[$$-409]* #,##0_ ;_-[$$-409]* \-#,##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2" fillId="0" borderId="0" xfId="0" applyFont="1"/>
    <xf numFmtId="0" fontId="7" fillId="4" borderId="0" xfId="0" applyFont="1" applyFill="1" applyBorder="1"/>
    <xf numFmtId="10" fontId="7" fillId="4" borderId="0" xfId="0" applyNumberFormat="1" applyFont="1" applyFill="1" applyBorder="1"/>
    <xf numFmtId="0" fontId="6" fillId="4" borderId="6" xfId="0" applyFont="1" applyFill="1" applyBorder="1"/>
    <xf numFmtId="0" fontId="6" fillId="4" borderId="15" xfId="0" applyFont="1" applyFill="1" applyBorder="1"/>
    <xf numFmtId="3" fontId="7" fillId="4" borderId="0" xfId="0" applyNumberFormat="1" applyFont="1" applyFill="1" applyBorder="1"/>
    <xf numFmtId="167" fontId="7" fillId="2" borderId="14" xfId="0" applyNumberFormat="1" applyFont="1" applyFill="1" applyBorder="1"/>
    <xf numFmtId="0" fontId="6" fillId="3" borderId="5" xfId="0" applyFont="1" applyFill="1" applyBorder="1"/>
    <xf numFmtId="0" fontId="7" fillId="3" borderId="3" xfId="0" applyFont="1" applyFill="1" applyBorder="1"/>
    <xf numFmtId="3" fontId="6" fillId="3" borderId="4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6" fillId="3" borderId="16" xfId="0" applyFont="1" applyFill="1" applyBorder="1"/>
    <xf numFmtId="0" fontId="8" fillId="3" borderId="8" xfId="0" applyFont="1" applyFill="1" applyBorder="1"/>
    <xf numFmtId="3" fontId="6" fillId="3" borderId="18" xfId="0" applyNumberFormat="1" applyFont="1" applyFill="1" applyBorder="1" applyAlignment="1">
      <alignment horizontal="right"/>
    </xf>
    <xf numFmtId="0" fontId="6" fillId="3" borderId="10" xfId="0" applyFont="1" applyFill="1" applyBorder="1"/>
    <xf numFmtId="0" fontId="6" fillId="4" borderId="19" xfId="0" applyFont="1" applyFill="1" applyBorder="1"/>
    <xf numFmtId="0" fontId="7" fillId="4" borderId="10" xfId="0" applyFont="1" applyFill="1" applyBorder="1"/>
    <xf numFmtId="0" fontId="6" fillId="4" borderId="21" xfId="0" applyFont="1" applyFill="1" applyBorder="1"/>
    <xf numFmtId="167" fontId="7" fillId="2" borderId="20" xfId="0" applyNumberFormat="1" applyFont="1" applyFill="1" applyBorder="1"/>
    <xf numFmtId="167" fontId="6" fillId="0" borderId="11" xfId="0" applyNumberFormat="1" applyFont="1" applyBorder="1"/>
    <xf numFmtId="167" fontId="6" fillId="4" borderId="11" xfId="0" applyNumberFormat="1" applyFont="1" applyFill="1" applyBorder="1"/>
    <xf numFmtId="3" fontId="7" fillId="4" borderId="11" xfId="0" applyNumberFormat="1" applyFont="1" applyFill="1" applyBorder="1"/>
    <xf numFmtId="3" fontId="5" fillId="4" borderId="0" xfId="0" applyNumberFormat="1" applyFont="1" applyFill="1" applyBorder="1"/>
    <xf numFmtId="0" fontId="0" fillId="4" borderId="0" xfId="0" applyFont="1" applyFill="1"/>
    <xf numFmtId="0" fontId="2" fillId="4" borderId="0" xfId="0" applyFont="1" applyFill="1"/>
    <xf numFmtId="0" fontId="5" fillId="4" borderId="0" xfId="0" applyFont="1" applyFill="1" applyBorder="1"/>
    <xf numFmtId="0" fontId="9" fillId="4" borderId="0" xfId="0" applyFont="1" applyFill="1"/>
    <xf numFmtId="167" fontId="10" fillId="3" borderId="17" xfId="1" applyNumberFormat="1" applyFont="1" applyFill="1" applyBorder="1"/>
    <xf numFmtId="167" fontId="10" fillId="3" borderId="22" xfId="1" applyNumberFormat="1" applyFont="1" applyFill="1" applyBorder="1"/>
    <xf numFmtId="0" fontId="7" fillId="3" borderId="6" xfId="0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" fontId="6" fillId="3" borderId="7" xfId="0" applyNumberFormat="1" applyFont="1" applyFill="1" applyBorder="1" applyAlignment="1">
      <alignment horizontal="right"/>
    </xf>
    <xf numFmtId="1" fontId="6" fillId="3" borderId="24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0" fontId="10" fillId="3" borderId="11" xfId="0" applyFont="1" applyFill="1" applyBorder="1"/>
    <xf numFmtId="3" fontId="6" fillId="0" borderId="26" xfId="0" applyNumberFormat="1" applyFont="1" applyBorder="1"/>
    <xf numFmtId="0" fontId="9" fillId="0" borderId="27" xfId="0" applyFont="1" applyBorder="1"/>
    <xf numFmtId="0" fontId="10" fillId="0" borderId="11" xfId="0" applyFont="1" applyBorder="1"/>
    <xf numFmtId="0" fontId="9" fillId="0" borderId="11" xfId="0" applyFont="1" applyBorder="1"/>
    <xf numFmtId="0" fontId="6" fillId="3" borderId="28" xfId="0" applyFont="1" applyFill="1" applyBorder="1"/>
    <xf numFmtId="3" fontId="6" fillId="3" borderId="29" xfId="0" applyNumberFormat="1" applyFont="1" applyFill="1" applyBorder="1" applyAlignment="1">
      <alignment horizontal="right"/>
    </xf>
    <xf numFmtId="0" fontId="10" fillId="3" borderId="30" xfId="0" applyFont="1" applyFill="1" applyBorder="1"/>
    <xf numFmtId="3" fontId="6" fillId="0" borderId="31" xfId="0" applyNumberFormat="1" applyFont="1" applyBorder="1"/>
    <xf numFmtId="0" fontId="9" fillId="0" borderId="32" xfId="0" applyFont="1" applyBorder="1"/>
    <xf numFmtId="0" fontId="10" fillId="0" borderId="30" xfId="0" applyFont="1" applyBorder="1"/>
    <xf numFmtId="0" fontId="9" fillId="0" borderId="30" xfId="0" applyFont="1" applyBorder="1"/>
    <xf numFmtId="0" fontId="6" fillId="3" borderId="25" xfId="0" applyFont="1" applyFill="1" applyBorder="1"/>
    <xf numFmtId="0" fontId="9" fillId="4" borderId="30" xfId="0" applyFont="1" applyFill="1" applyBorder="1"/>
    <xf numFmtId="0" fontId="5" fillId="4" borderId="10" xfId="0" applyFont="1" applyFill="1" applyBorder="1"/>
    <xf numFmtId="3" fontId="5" fillId="4" borderId="11" xfId="0" applyNumberFormat="1" applyFont="1" applyFill="1" applyBorder="1"/>
    <xf numFmtId="0" fontId="5" fillId="0" borderId="10" xfId="0" applyFont="1" applyBorder="1"/>
    <xf numFmtId="3" fontId="5" fillId="0" borderId="11" xfId="0" applyNumberFormat="1" applyFont="1" applyBorder="1"/>
    <xf numFmtId="167" fontId="6" fillId="4" borderId="6" xfId="0" applyNumberFormat="1" applyFont="1" applyFill="1" applyBorder="1"/>
    <xf numFmtId="167" fontId="6" fillId="4" borderId="23" xfId="0" applyNumberFormat="1" applyFont="1" applyFill="1" applyBorder="1"/>
    <xf numFmtId="0" fontId="7" fillId="4" borderId="2" xfId="0" applyFont="1" applyFill="1" applyBorder="1"/>
    <xf numFmtId="0" fontId="7" fillId="4" borderId="1" xfId="0" applyFont="1" applyFill="1" applyBorder="1"/>
    <xf numFmtId="0" fontId="7" fillId="4" borderId="6" xfId="0" applyFont="1" applyFill="1" applyBorder="1"/>
    <xf numFmtId="166" fontId="6" fillId="4" borderId="6" xfId="0" applyNumberFormat="1" applyFont="1" applyFill="1" applyBorder="1" applyAlignment="1">
      <alignment horizontal="left"/>
    </xf>
    <xf numFmtId="3" fontId="8" fillId="6" borderId="33" xfId="0" applyNumberFormat="1" applyFont="1" applyFill="1" applyBorder="1" applyAlignment="1">
      <alignment horizontal="right"/>
    </xf>
    <xf numFmtId="166" fontId="6" fillId="6" borderId="14" xfId="0" applyNumberFormat="1" applyFont="1" applyFill="1" applyBorder="1" applyAlignment="1">
      <alignment horizontal="right"/>
    </xf>
    <xf numFmtId="0" fontId="6" fillId="4" borderId="35" xfId="0" applyFont="1" applyFill="1" applyBorder="1"/>
    <xf numFmtId="0" fontId="6" fillId="4" borderId="36" xfId="0" applyFont="1" applyFill="1" applyBorder="1"/>
    <xf numFmtId="0" fontId="6" fillId="4" borderId="2" xfId="0" applyFont="1" applyFill="1" applyBorder="1"/>
    <xf numFmtId="167" fontId="6" fillId="4" borderId="2" xfId="0" applyNumberFormat="1" applyFont="1" applyFill="1" applyBorder="1"/>
    <xf numFmtId="167" fontId="6" fillId="4" borderId="13" xfId="0" applyNumberFormat="1" applyFont="1" applyFill="1" applyBorder="1"/>
    <xf numFmtId="165" fontId="5" fillId="4" borderId="0" xfId="0" applyNumberFormat="1" applyFont="1" applyFill="1" applyBorder="1"/>
    <xf numFmtId="0" fontId="5" fillId="4" borderId="0" xfId="0" applyNumberFormat="1" applyFont="1" applyFill="1" applyBorder="1"/>
    <xf numFmtId="0" fontId="0" fillId="4" borderId="0" xfId="0" applyFont="1" applyFill="1" applyAlignment="1">
      <alignment vertical="top"/>
    </xf>
    <xf numFmtId="0" fontId="6" fillId="4" borderId="34" xfId="0" applyFont="1" applyFill="1" applyBorder="1"/>
    <xf numFmtId="0" fontId="6" fillId="4" borderId="12" xfId="0" applyFont="1" applyFill="1" applyBorder="1"/>
    <xf numFmtId="0" fontId="3" fillId="5" borderId="16" xfId="0" applyFont="1" applyFill="1" applyBorder="1"/>
    <xf numFmtId="0" fontId="4" fillId="5" borderId="5" xfId="0" applyFont="1" applyFill="1" applyBorder="1"/>
    <xf numFmtId="0" fontId="5" fillId="5" borderId="5" xfId="0" applyFont="1" applyFill="1" applyBorder="1"/>
    <xf numFmtId="0" fontId="4" fillId="5" borderId="28" xfId="0" applyFont="1" applyFill="1" applyBorder="1"/>
    <xf numFmtId="3" fontId="6" fillId="4" borderId="37" xfId="0" applyNumberFormat="1" applyFont="1" applyFill="1" applyBorder="1" applyAlignment="1">
      <alignment horizontal="right"/>
    </xf>
    <xf numFmtId="166" fontId="6" fillId="4" borderId="39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6" fillId="3" borderId="21" xfId="0" applyFont="1" applyFill="1" applyBorder="1"/>
    <xf numFmtId="0" fontId="6" fillId="3" borderId="6" xfId="0" applyFont="1" applyFill="1" applyBorder="1"/>
    <xf numFmtId="0" fontId="10" fillId="3" borderId="40" xfId="0" applyFont="1" applyFill="1" applyBorder="1"/>
    <xf numFmtId="0" fontId="10" fillId="0" borderId="40" xfId="0" applyFont="1" applyBorder="1"/>
    <xf numFmtId="3" fontId="11" fillId="4" borderId="0" xfId="0" applyNumberFormat="1" applyFont="1" applyFill="1" applyBorder="1"/>
    <xf numFmtId="0" fontId="0" fillId="0" borderId="15" xfId="0" applyFont="1" applyBorder="1"/>
    <xf numFmtId="166" fontId="5" fillId="4" borderId="0" xfId="0" applyNumberFormat="1" applyFont="1" applyFill="1" applyBorder="1" applyAlignment="1">
      <alignment horizontal="right"/>
    </xf>
    <xf numFmtId="167" fontId="10" fillId="3" borderId="41" xfId="1" applyNumberFormat="1" applyFont="1" applyFill="1" applyBorder="1"/>
    <xf numFmtId="167" fontId="10" fillId="3" borderId="39" xfId="1" applyNumberFormat="1" applyFont="1" applyFill="1" applyBorder="1"/>
    <xf numFmtId="167" fontId="6" fillId="4" borderId="14" xfId="0" applyNumberFormat="1" applyFont="1" applyFill="1" applyBorder="1"/>
    <xf numFmtId="167" fontId="6" fillId="4" borderId="20" xfId="0" applyNumberFormat="1" applyFont="1" applyFill="1" applyBorder="1"/>
    <xf numFmtId="167" fontId="6" fillId="4" borderId="38" xfId="1" applyNumberFormat="1" applyFont="1" applyFill="1" applyBorder="1"/>
    <xf numFmtId="167" fontId="6" fillId="4" borderId="38" xfId="0" applyNumberFormat="1" applyFont="1" applyFill="1" applyBorder="1"/>
    <xf numFmtId="166" fontId="6" fillId="4" borderId="0" xfId="0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>
      <alignment horizontal="left"/>
    </xf>
    <xf numFmtId="0" fontId="2" fillId="0" borderId="10" xfId="0" applyFont="1" applyBorder="1"/>
    <xf numFmtId="167" fontId="6" fillId="4" borderId="42" xfId="0" applyNumberFormat="1" applyFont="1" applyFill="1" applyBorder="1"/>
    <xf numFmtId="167" fontId="6" fillId="4" borderId="43" xfId="0" applyNumberFormat="1" applyFont="1" applyFill="1" applyBorder="1"/>
    <xf numFmtId="3" fontId="6" fillId="3" borderId="6" xfId="0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left"/>
    </xf>
    <xf numFmtId="0" fontId="0" fillId="4" borderId="0" xfId="0" applyFill="1"/>
    <xf numFmtId="3" fontId="6" fillId="3" borderId="4" xfId="0" applyNumberFormat="1" applyFont="1" applyFill="1" applyBorder="1" applyAlignment="1">
      <alignment horizontal="center" wrapText="1"/>
    </xf>
    <xf numFmtId="0" fontId="9" fillId="0" borderId="0" xfId="0" applyFont="1"/>
    <xf numFmtId="0" fontId="0" fillId="4" borderId="0" xfId="0" applyFont="1" applyFill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Without M&amp;A Components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Graphs!$A$8</c:f>
              <c:strCache>
                <c:ptCount val="1"/>
                <c:pt idx="0">
                  <c:v>Net Cash 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Graphs!$B$7:$G$7</c:f>
              <c:numCache>
                <c:formatCode>0</c:formatCode>
                <c:ptCount val="6"/>
                <c:pt idx="0" formatCode="#,##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Graphs!$B$8:$G$8</c:f>
              <c:numCache>
                <c:formatCode>_-[$$-409]* #,##0_ ;_-[$$-409]* \-#,##0\ ;_-[$$-409]* "-"??_ ;_-@_ </c:formatCode>
                <c:ptCount val="6"/>
                <c:pt idx="0">
                  <c:v>-29000</c:v>
                </c:pt>
                <c:pt idx="1">
                  <c:v>-55000</c:v>
                </c:pt>
                <c:pt idx="2">
                  <c:v>21000</c:v>
                </c:pt>
                <c:pt idx="3">
                  <c:v>50500</c:v>
                </c:pt>
                <c:pt idx="4">
                  <c:v>55500</c:v>
                </c:pt>
                <c:pt idx="5">
                  <c:v>30500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D-4371-BB96-5C8D273A9CC4}"/>
            </c:ext>
          </c:extLst>
        </c:ser>
        <c:ser>
          <c:idx val="1"/>
          <c:order val="1"/>
          <c:tx>
            <c:strRef>
              <c:f>Graphs!$A$9</c:f>
              <c:strCache>
                <c:ptCount val="1"/>
                <c:pt idx="0">
                  <c:v>Cumulative net cash 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Graphs!$B$7:$G$7</c:f>
              <c:numCache>
                <c:formatCode>0</c:formatCode>
                <c:ptCount val="6"/>
                <c:pt idx="0" formatCode="#,##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Graphs!$B$9:$G$9</c:f>
              <c:numCache>
                <c:formatCode>_-[$$-409]* #,##0_ ;_-[$$-409]* \-#,##0\ ;_-[$$-409]* "-"??_ ;_-@_ </c:formatCode>
                <c:ptCount val="6"/>
                <c:pt idx="0">
                  <c:v>-29000</c:v>
                </c:pt>
                <c:pt idx="1">
                  <c:v>-84000</c:v>
                </c:pt>
                <c:pt idx="2">
                  <c:v>-63000</c:v>
                </c:pt>
                <c:pt idx="3">
                  <c:v>-12500</c:v>
                </c:pt>
                <c:pt idx="4">
                  <c:v>43000</c:v>
                </c:pt>
                <c:pt idx="5">
                  <c:v>73500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D-4371-BB96-5C8D273A9CC4}"/>
            </c:ext>
          </c:extLst>
        </c:ser>
        <c:ser>
          <c:idx val="2"/>
          <c:order val="2"/>
          <c:tx>
            <c:strRef>
              <c:f>Graphs!$A$10</c:f>
              <c:strCache>
                <c:ptCount val="1"/>
                <c:pt idx="0">
                  <c:v>Net present value cash flow = (1/(1+ WACC)**t) * initiql investment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Graphs!$B$7:$G$7</c:f>
              <c:numCache>
                <c:formatCode>0</c:formatCode>
                <c:ptCount val="6"/>
                <c:pt idx="0" formatCode="#,##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Graphs!$B$10:$G$10</c:f>
              <c:numCache>
                <c:formatCode>_-[$$-409]* #,##0_ ;_-[$$-409]* \-#,##0\ ;_-[$$-409]* "-"??_ ;_-@_ </c:formatCode>
                <c:ptCount val="6"/>
                <c:pt idx="0">
                  <c:v>-29000</c:v>
                </c:pt>
                <c:pt idx="1">
                  <c:v>-50458.715596330272</c:v>
                </c:pt>
                <c:pt idx="2">
                  <c:v>17675.279858597758</c:v>
                </c:pt>
                <c:pt idx="3">
                  <c:v>38995.265743083743</c:v>
                </c:pt>
                <c:pt idx="4">
                  <c:v>39317.599214118403</c:v>
                </c:pt>
                <c:pt idx="5">
                  <c:v>19822.907282099528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1D-4371-BB96-5C8D273A9CC4}"/>
            </c:ext>
          </c:extLst>
        </c:ser>
        <c:ser>
          <c:idx val="3"/>
          <c:order val="3"/>
          <c:tx>
            <c:strRef>
              <c:f>Graphs!$A$11</c:f>
              <c:strCache>
                <c:ptCount val="1"/>
                <c:pt idx="0">
                  <c:v>Cumulative net present value cash flow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Graphs!$B$7:$G$7</c:f>
              <c:numCache>
                <c:formatCode>0</c:formatCode>
                <c:ptCount val="6"/>
                <c:pt idx="0" formatCode="#,##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Graphs!$B$11:$G$11</c:f>
              <c:numCache>
                <c:formatCode>_-[$$-409]* #,##0_ ;_-[$$-409]* \-#,##0\ ;_-[$$-409]* "-"??_ ;_-@_ </c:formatCode>
                <c:ptCount val="6"/>
                <c:pt idx="0">
                  <c:v>-29000</c:v>
                </c:pt>
                <c:pt idx="1">
                  <c:v>-79458.715596330265</c:v>
                </c:pt>
                <c:pt idx="2">
                  <c:v>-61783.435737732507</c:v>
                </c:pt>
                <c:pt idx="3">
                  <c:v>-22788.169994648764</c:v>
                </c:pt>
                <c:pt idx="4">
                  <c:v>16529.429219469639</c:v>
                </c:pt>
                <c:pt idx="5">
                  <c:v>36352.336501569167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1D-4371-BB96-5C8D273A9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7335808"/>
        <c:axId val="-716609680"/>
      </c:lineChart>
      <c:catAx>
        <c:axId val="-7173358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6609680"/>
        <c:crosses val="autoZero"/>
        <c:auto val="1"/>
        <c:lblAlgn val="ctr"/>
        <c:lblOffset val="100"/>
        <c:noMultiLvlLbl val="0"/>
      </c:catAx>
      <c:valAx>
        <c:axId val="-71660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733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With M&amp;A Components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Graphs!$A$15</c:f>
              <c:strCache>
                <c:ptCount val="1"/>
                <c:pt idx="0">
                  <c:v>Net Cash 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Graphs!$B$14:$G$14</c:f>
              <c:numCache>
                <c:formatCode>0</c:formatCode>
                <c:ptCount val="6"/>
                <c:pt idx="0" formatCode="#,##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Graphs!$B$15:$G$15</c:f>
              <c:numCache>
                <c:formatCode>_-[$$-409]* #,##0_ ;_-[$$-409]* \-#,##0\ ;_-[$$-409]* "-"??_ ;_-@_ </c:formatCode>
                <c:ptCount val="6"/>
                <c:pt idx="0">
                  <c:v>-29500</c:v>
                </c:pt>
                <c:pt idx="1">
                  <c:v>-50250</c:v>
                </c:pt>
                <c:pt idx="2">
                  <c:v>52130</c:v>
                </c:pt>
                <c:pt idx="3">
                  <c:v>89505</c:v>
                </c:pt>
                <c:pt idx="4">
                  <c:v>94755</c:v>
                </c:pt>
                <c:pt idx="5">
                  <c:v>76355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B-4BFC-A147-BCA713F75E65}"/>
            </c:ext>
          </c:extLst>
        </c:ser>
        <c:ser>
          <c:idx val="1"/>
          <c:order val="1"/>
          <c:tx>
            <c:strRef>
              <c:f>Graphs!$A$16</c:f>
              <c:strCache>
                <c:ptCount val="1"/>
                <c:pt idx="0">
                  <c:v>Cumulative net cash flow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Graphs!$B$14:$G$14</c:f>
              <c:numCache>
                <c:formatCode>0</c:formatCode>
                <c:ptCount val="6"/>
                <c:pt idx="0" formatCode="#,##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Graphs!$B$16:$G$16</c:f>
              <c:numCache>
                <c:formatCode>_-[$$-409]* #,##0_ ;_-[$$-409]* \-#,##0\ ;_-[$$-409]* "-"??_ ;_-@_ </c:formatCode>
                <c:ptCount val="6"/>
                <c:pt idx="0">
                  <c:v>-29500</c:v>
                </c:pt>
                <c:pt idx="1">
                  <c:v>-79750</c:v>
                </c:pt>
                <c:pt idx="2">
                  <c:v>-27620</c:v>
                </c:pt>
                <c:pt idx="3">
                  <c:v>61885</c:v>
                </c:pt>
                <c:pt idx="4">
                  <c:v>156640</c:v>
                </c:pt>
                <c:pt idx="5">
                  <c:v>232995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4B-4BFC-A147-BCA713F75E65}"/>
            </c:ext>
          </c:extLst>
        </c:ser>
        <c:ser>
          <c:idx val="2"/>
          <c:order val="2"/>
          <c:tx>
            <c:strRef>
              <c:f>Graphs!$A$17</c:f>
              <c:strCache>
                <c:ptCount val="1"/>
                <c:pt idx="0">
                  <c:v>Net present value cash flow = (1/(1+ WACC)**t) * initiql investment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Graphs!$B$14:$G$14</c:f>
              <c:numCache>
                <c:formatCode>0</c:formatCode>
                <c:ptCount val="6"/>
                <c:pt idx="0" formatCode="#,##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Graphs!$B$17:$G$17</c:f>
              <c:numCache>
                <c:formatCode>_-[$$-409]* #,##0_ ;_-[$$-409]* \-#,##0\ ;_-[$$-409]* "-"??_ ;_-@_ </c:formatCode>
                <c:ptCount val="6"/>
                <c:pt idx="0">
                  <c:v>-29500</c:v>
                </c:pt>
                <c:pt idx="1">
                  <c:v>-46100.917431192654</c:v>
                </c:pt>
                <c:pt idx="2">
                  <c:v>43876.778048985769</c:v>
                </c:pt>
                <c:pt idx="3">
                  <c:v>69114.282382865553</c:v>
                </c:pt>
                <c:pt idx="4">
                  <c:v>67126.830874482679</c:v>
                </c:pt>
                <c:pt idx="5">
                  <c:v>49625.511000810147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4B-4BFC-A147-BCA713F75E65}"/>
            </c:ext>
          </c:extLst>
        </c:ser>
        <c:ser>
          <c:idx val="3"/>
          <c:order val="3"/>
          <c:tx>
            <c:strRef>
              <c:f>Graphs!$A$18</c:f>
              <c:strCache>
                <c:ptCount val="1"/>
                <c:pt idx="0">
                  <c:v>Cumulative net present value cash flow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Graphs!$B$14:$G$14</c:f>
              <c:numCache>
                <c:formatCode>0</c:formatCode>
                <c:ptCount val="6"/>
                <c:pt idx="0" formatCode="#,##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Graphs!$B$18:$G$18</c:f>
              <c:numCache>
                <c:formatCode>_-[$$-409]* #,##0_ ;_-[$$-409]* \-#,##0\ ;_-[$$-409]* "-"??_ ;_-@_ </c:formatCode>
                <c:ptCount val="6"/>
                <c:pt idx="0">
                  <c:v>-29500</c:v>
                </c:pt>
                <c:pt idx="1">
                  <c:v>-75600.917431192647</c:v>
                </c:pt>
                <c:pt idx="2">
                  <c:v>-31724.139382206879</c:v>
                </c:pt>
                <c:pt idx="3">
                  <c:v>37390.143000658674</c:v>
                </c:pt>
                <c:pt idx="4">
                  <c:v>104516.97387514135</c:v>
                </c:pt>
                <c:pt idx="5">
                  <c:v>154142.48487595149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4B-4BFC-A147-BCA713F75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6864784"/>
        <c:axId val="-716861952"/>
      </c:lineChart>
      <c:catAx>
        <c:axId val="-7168647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6861952"/>
        <c:crosses val="autoZero"/>
        <c:auto val="1"/>
        <c:lblAlgn val="ctr"/>
        <c:lblOffset val="100"/>
        <c:noMultiLvlLbl val="0"/>
      </c:catAx>
      <c:valAx>
        <c:axId val="-71686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686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Graphs!$A$2</c:f>
              <c:strCache>
                <c:ptCount val="1"/>
                <c:pt idx="0">
                  <c:v>Payback period (in months)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Graphs!$B$1:$C$1</c:f>
              <c:strCache>
                <c:ptCount val="2"/>
                <c:pt idx="0">
                  <c:v>Without M&amp;A Components</c:v>
                </c:pt>
                <c:pt idx="1">
                  <c:v>With M&amp;A Components</c:v>
                </c:pt>
              </c:strCache>
            </c:strRef>
          </c:cat>
          <c:val>
            <c:numRef>
              <c:f>Graphs!$B$2:$C$2</c:f>
              <c:numCache>
                <c:formatCode>#,##0</c:formatCode>
                <c:ptCount val="2"/>
                <c:pt idx="0">
                  <c:v>38.702702702702702</c:v>
                </c:pt>
                <c:pt idx="1">
                  <c:v>27.703033350092173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5-483B-BFC7-7EB8E7440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6942752"/>
        <c:axId val="-716940704"/>
      </c:barChart>
      <c:catAx>
        <c:axId val="-7169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6940704"/>
        <c:crosses val="autoZero"/>
        <c:auto val="1"/>
        <c:lblAlgn val="ctr"/>
        <c:lblOffset val="100"/>
        <c:noMultiLvlLbl val="0"/>
      </c:catAx>
      <c:valAx>
        <c:axId val="-71694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694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Graphs!$A$3</c:f>
              <c:strCache>
                <c:ptCount val="1"/>
                <c:pt idx="0">
                  <c:v>Net Present Value when calculating with WACC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Graphs!$B$1:$C$1</c:f>
              <c:strCache>
                <c:ptCount val="2"/>
                <c:pt idx="0">
                  <c:v>Without M&amp;A Components</c:v>
                </c:pt>
                <c:pt idx="1">
                  <c:v>With M&amp;A Components</c:v>
                </c:pt>
              </c:strCache>
            </c:strRef>
          </c:cat>
          <c:val>
            <c:numRef>
              <c:f>Graphs!$B$3:$C$3</c:f>
              <c:numCache>
                <c:formatCode>_-[$$-409]* #,##0_ ;_-[$$-409]* \-#,##0\ ;_-[$$-409]* "-"??_ ;_-@_ </c:formatCode>
                <c:ptCount val="2"/>
                <c:pt idx="0">
                  <c:v>36352.33650156916</c:v>
                </c:pt>
                <c:pt idx="1">
                  <c:v>154142.48487595149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9-41AB-A09F-6F60B8971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6947840"/>
        <c:axId val="-717220416"/>
      </c:barChart>
      <c:catAx>
        <c:axId val="-71694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7220416"/>
        <c:crosses val="autoZero"/>
        <c:auto val="1"/>
        <c:lblAlgn val="ctr"/>
        <c:lblOffset val="100"/>
        <c:noMultiLvlLbl val="0"/>
      </c:catAx>
      <c:valAx>
        <c:axId val="-71722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694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Graphs!$A$4</c:f>
              <c:strCache>
                <c:ptCount val="1"/>
                <c:pt idx="0">
                  <c:v>Internal Rate Of Return (IRR)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Graphs!$B$1:$C$1</c:f>
              <c:strCache>
                <c:ptCount val="2"/>
                <c:pt idx="0">
                  <c:v>Without M&amp;A Components</c:v>
                </c:pt>
                <c:pt idx="1">
                  <c:v>With M&amp;A Components</c:v>
                </c:pt>
              </c:strCache>
            </c:strRef>
          </c:cat>
          <c:val>
            <c:numRef>
              <c:f>Graphs!$B$4:$C$4</c:f>
              <c:numCache>
                <c:formatCode>0.0%</c:formatCode>
                <c:ptCount val="2"/>
                <c:pt idx="0">
                  <c:v>0.24401103394297619</c:v>
                </c:pt>
                <c:pt idx="1">
                  <c:v>0.63019369271008285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4-40CC-A688-DA6CCD0C0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6084416"/>
        <c:axId val="-716082640"/>
      </c:barChart>
      <c:catAx>
        <c:axId val="-716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6082640"/>
        <c:crosses val="autoZero"/>
        <c:auto val="1"/>
        <c:lblAlgn val="ctr"/>
        <c:lblOffset val="100"/>
        <c:noMultiLvlLbl val="0"/>
      </c:catAx>
      <c:valAx>
        <c:axId val="-71608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608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228851</xdr:colOff>
      <xdr:row>0</xdr:row>
      <xdr:rowOff>112163</xdr:rowOff>
    </xdr:from>
    <xdr:to>
      <xdr:col>20</xdr:col>
      <xdr:colOff>553267</xdr:colOff>
      <xdr:row>27</xdr:row>
      <xdr:rowOff>50297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209990</xdr:colOff>
      <xdr:row>27</xdr:row>
      <xdr:rowOff>49290</xdr:rowOff>
    </xdr:from>
    <xdr:to>
      <xdr:col>20</xdr:col>
      <xdr:colOff>528119</xdr:colOff>
      <xdr:row>55</xdr:row>
      <xdr:rowOff>113167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2555090</xdr:colOff>
      <xdr:row>18</xdr:row>
      <xdr:rowOff>61865</xdr:rowOff>
    </xdr:from>
    <xdr:to>
      <xdr:col>4</xdr:col>
      <xdr:colOff>462734</xdr:colOff>
      <xdr:row>32</xdr:row>
      <xdr:rowOff>164471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2565147</xdr:colOff>
      <xdr:row>33</xdr:row>
      <xdr:rowOff>61866</xdr:rowOff>
    </xdr:from>
    <xdr:to>
      <xdr:col>4</xdr:col>
      <xdr:colOff>472791</xdr:colOff>
      <xdr:row>47</xdr:row>
      <xdr:rowOff>164472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2567664</xdr:colOff>
      <xdr:row>48</xdr:row>
      <xdr:rowOff>61865</xdr:rowOff>
    </xdr:from>
    <xdr:to>
      <xdr:col>4</xdr:col>
      <xdr:colOff>475308</xdr:colOff>
      <xdr:row>62</xdr:row>
      <xdr:rowOff>164471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zoomScale="120" zoomScaleNormal="120" workbookViewId="0">
      <selection activeCell="I5" sqref="I5"/>
    </sheetView>
  </sheetViews>
  <sheetFormatPr defaultColWidth="8.85546875" defaultRowHeight="15" x14ac:dyDescent="0.25"/>
  <cols>
    <col min="1" max="1" width="2.7109375" style="27" customWidth="1"/>
    <col min="2" max="6" width="8.85546875" style="1"/>
    <col min="7" max="7" width="9" style="1" bestFit="1" customWidth="1"/>
    <col min="8" max="13" width="11.85546875" style="1" customWidth="1"/>
    <col min="14" max="14" width="9" style="1" customWidth="1"/>
    <col min="15" max="15" width="74.85546875" style="1" customWidth="1"/>
    <col min="16" max="16384" width="8.85546875" style="1"/>
  </cols>
  <sheetData>
    <row r="1" spans="1:15" ht="24" thickBot="1" x14ac:dyDescent="0.4">
      <c r="B1" s="74" t="s">
        <v>71</v>
      </c>
      <c r="C1" s="75"/>
      <c r="D1" s="75"/>
      <c r="E1" s="75"/>
      <c r="F1" s="75"/>
      <c r="G1" s="75"/>
      <c r="H1" s="75"/>
      <c r="I1" s="76"/>
      <c r="J1" s="76"/>
      <c r="K1" s="75"/>
      <c r="L1" s="75"/>
      <c r="M1" s="75"/>
      <c r="N1" s="75"/>
      <c r="O1" s="77"/>
    </row>
    <row r="2" spans="1:15" ht="15.75" x14ac:dyDescent="0.25">
      <c r="B2" s="16" t="s">
        <v>35</v>
      </c>
      <c r="C2" s="12"/>
      <c r="D2" s="12"/>
      <c r="E2" s="12"/>
      <c r="F2" s="12"/>
      <c r="G2" s="12"/>
      <c r="H2" s="13" t="s">
        <v>24</v>
      </c>
      <c r="I2" s="13" t="s">
        <v>25</v>
      </c>
      <c r="J2" s="13" t="s">
        <v>25</v>
      </c>
      <c r="K2" s="13" t="s">
        <v>25</v>
      </c>
      <c r="L2" s="13" t="s">
        <v>25</v>
      </c>
      <c r="M2" s="17" t="s">
        <v>25</v>
      </c>
      <c r="N2" s="44"/>
      <c r="O2" s="37"/>
    </row>
    <row r="3" spans="1:15" x14ac:dyDescent="0.25">
      <c r="B3" s="18"/>
      <c r="C3" s="14"/>
      <c r="D3" s="14"/>
      <c r="E3" s="14"/>
      <c r="F3" s="14"/>
      <c r="G3" s="33"/>
      <c r="H3" s="34">
        <v>0</v>
      </c>
      <c r="I3" s="35">
        <v>1</v>
      </c>
      <c r="J3" s="35">
        <f>I3+1</f>
        <v>2</v>
      </c>
      <c r="K3" s="35">
        <f>J3+1</f>
        <v>3</v>
      </c>
      <c r="L3" s="35">
        <f>K3+1</f>
        <v>4</v>
      </c>
      <c r="M3" s="36">
        <f>L3+1</f>
        <v>5</v>
      </c>
      <c r="N3" s="45" t="s">
        <v>43</v>
      </c>
      <c r="O3" s="38" t="s">
        <v>29</v>
      </c>
    </row>
    <row r="4" spans="1:15" s="4" customFormat="1" x14ac:dyDescent="0.25">
      <c r="A4" s="28"/>
      <c r="B4" s="19" t="s">
        <v>0</v>
      </c>
      <c r="C4" s="8" t="s">
        <v>26</v>
      </c>
      <c r="D4" s="8"/>
      <c r="E4" s="8"/>
      <c r="F4" s="8"/>
      <c r="G4" s="7"/>
      <c r="H4" s="7"/>
      <c r="I4" s="7"/>
      <c r="J4" s="7"/>
      <c r="K4" s="7"/>
      <c r="L4" s="7"/>
      <c r="M4" s="24"/>
      <c r="N4" s="46"/>
      <c r="O4" s="39"/>
    </row>
    <row r="5" spans="1:15" x14ac:dyDescent="0.25">
      <c r="B5" s="20"/>
      <c r="C5" s="5" t="s">
        <v>2</v>
      </c>
      <c r="D5" s="5" t="s">
        <v>27</v>
      </c>
      <c r="E5" s="5"/>
      <c r="F5" s="5"/>
      <c r="G5" s="5"/>
      <c r="H5" s="10">
        <v>-50000</v>
      </c>
      <c r="I5" s="10">
        <v>-10000</v>
      </c>
      <c r="J5" s="10"/>
      <c r="K5" s="10"/>
      <c r="L5" s="10"/>
      <c r="M5" s="22"/>
      <c r="N5" s="47" t="s">
        <v>44</v>
      </c>
      <c r="O5" s="40" t="s">
        <v>104</v>
      </c>
    </row>
    <row r="6" spans="1:15" x14ac:dyDescent="0.25">
      <c r="B6" s="20"/>
      <c r="C6" s="5" t="s">
        <v>3</v>
      </c>
      <c r="D6" s="103" t="s">
        <v>28</v>
      </c>
      <c r="E6" s="5"/>
      <c r="F6" s="5"/>
      <c r="G6" s="5"/>
      <c r="H6" s="10"/>
      <c r="I6" s="10">
        <v>-75000</v>
      </c>
      <c r="J6" s="10">
        <v>-25000</v>
      </c>
      <c r="K6" s="10"/>
      <c r="L6" s="10"/>
      <c r="M6" s="22"/>
      <c r="N6" s="47" t="s">
        <v>44</v>
      </c>
      <c r="O6" s="40" t="s">
        <v>103</v>
      </c>
    </row>
    <row r="7" spans="1:15" x14ac:dyDescent="0.25">
      <c r="B7" s="20"/>
      <c r="C7" s="5" t="s">
        <v>4</v>
      </c>
      <c r="D7" s="5" t="s">
        <v>102</v>
      </c>
      <c r="E7" s="5"/>
      <c r="F7" s="5"/>
      <c r="G7" s="6"/>
      <c r="H7" s="10"/>
      <c r="I7" s="10"/>
      <c r="J7" s="10"/>
      <c r="K7" s="10"/>
      <c r="L7" s="10"/>
      <c r="M7" s="22"/>
      <c r="N7" s="47" t="s">
        <v>44</v>
      </c>
      <c r="O7" s="40" t="s">
        <v>131</v>
      </c>
    </row>
    <row r="8" spans="1:15" s="4" customFormat="1" x14ac:dyDescent="0.25">
      <c r="A8" s="28"/>
      <c r="B8" s="21" t="s">
        <v>5</v>
      </c>
      <c r="C8" s="7" t="s">
        <v>37</v>
      </c>
      <c r="D8" s="7"/>
      <c r="E8" s="7"/>
      <c r="F8" s="7"/>
      <c r="G8" s="7"/>
      <c r="H8" s="7"/>
      <c r="I8" s="7"/>
      <c r="J8" s="7"/>
      <c r="K8" s="7"/>
      <c r="L8" s="7"/>
      <c r="M8" s="23"/>
      <c r="N8" s="48"/>
      <c r="O8" s="41"/>
    </row>
    <row r="9" spans="1:15" x14ac:dyDescent="0.25">
      <c r="B9" s="20"/>
      <c r="C9" s="5" t="s">
        <v>2</v>
      </c>
      <c r="D9" s="5" t="s">
        <v>6</v>
      </c>
      <c r="E9" s="5"/>
      <c r="F9" s="5"/>
      <c r="G9" s="5"/>
      <c r="H9" s="10"/>
      <c r="I9" s="10"/>
      <c r="J9" s="10"/>
      <c r="K9" s="10"/>
      <c r="L9" s="10"/>
      <c r="M9" s="22"/>
      <c r="N9" s="47" t="s">
        <v>45</v>
      </c>
      <c r="O9" s="40" t="s">
        <v>132</v>
      </c>
    </row>
    <row r="10" spans="1:15" x14ac:dyDescent="0.25">
      <c r="B10" s="20"/>
      <c r="C10" s="5" t="s">
        <v>3</v>
      </c>
      <c r="D10" s="5" t="s">
        <v>1</v>
      </c>
      <c r="E10" s="5"/>
      <c r="F10" s="5"/>
      <c r="G10" s="6"/>
      <c r="H10" s="10">
        <v>25000</v>
      </c>
      <c r="I10" s="10"/>
      <c r="J10" s="10"/>
      <c r="K10" s="10"/>
      <c r="L10" s="10"/>
      <c r="M10" s="22"/>
      <c r="N10" s="47" t="s">
        <v>45</v>
      </c>
      <c r="O10" s="40" t="s">
        <v>136</v>
      </c>
    </row>
    <row r="11" spans="1:15" x14ac:dyDescent="0.25">
      <c r="B11" s="20"/>
      <c r="C11" s="5" t="s">
        <v>4</v>
      </c>
      <c r="D11" s="5" t="s">
        <v>30</v>
      </c>
      <c r="E11" s="5"/>
      <c r="F11" s="5"/>
      <c r="G11" s="6"/>
      <c r="H11" s="10"/>
      <c r="I11" s="10"/>
      <c r="J11" s="10"/>
      <c r="K11" s="10"/>
      <c r="L11" s="10"/>
      <c r="M11" s="22"/>
      <c r="N11" s="47" t="s">
        <v>45</v>
      </c>
      <c r="O11" s="40" t="s">
        <v>133</v>
      </c>
    </row>
    <row r="12" spans="1:15" s="4" customFormat="1" x14ac:dyDescent="0.25">
      <c r="A12" s="28"/>
      <c r="B12" s="21" t="s">
        <v>7</v>
      </c>
      <c r="C12" s="7" t="s">
        <v>31</v>
      </c>
      <c r="D12" s="7"/>
      <c r="E12" s="7"/>
      <c r="F12" s="7"/>
      <c r="G12" s="7"/>
      <c r="H12" s="7"/>
      <c r="I12" s="7"/>
      <c r="J12" s="7"/>
      <c r="K12" s="7"/>
      <c r="L12" s="7"/>
      <c r="M12" s="24"/>
      <c r="N12" s="48"/>
      <c r="O12" s="41"/>
    </row>
    <row r="13" spans="1:15" x14ac:dyDescent="0.25">
      <c r="B13" s="20"/>
      <c r="C13" s="5" t="s">
        <v>8</v>
      </c>
      <c r="D13" s="5" t="s">
        <v>33</v>
      </c>
      <c r="E13" s="5"/>
      <c r="F13" s="5"/>
      <c r="G13" s="5"/>
      <c r="H13" s="10"/>
      <c r="I13" s="10"/>
      <c r="J13" s="10"/>
      <c r="K13" s="10"/>
      <c r="L13" s="10"/>
      <c r="M13" s="22">
        <v>-30000</v>
      </c>
      <c r="N13" s="47" t="s">
        <v>44</v>
      </c>
      <c r="O13" s="40" t="s">
        <v>134</v>
      </c>
    </row>
    <row r="14" spans="1:15" x14ac:dyDescent="0.25">
      <c r="B14" s="20"/>
      <c r="C14" s="5" t="s">
        <v>3</v>
      </c>
      <c r="D14" s="5" t="s">
        <v>32</v>
      </c>
      <c r="E14" s="5"/>
      <c r="F14" s="5"/>
      <c r="G14" s="5"/>
      <c r="H14" s="10"/>
      <c r="I14" s="10"/>
      <c r="J14" s="10"/>
      <c r="K14" s="10"/>
      <c r="L14" s="10"/>
      <c r="M14" s="22"/>
      <c r="N14" s="47" t="s">
        <v>44</v>
      </c>
      <c r="O14" s="40" t="s">
        <v>105</v>
      </c>
    </row>
    <row r="15" spans="1:15" s="4" customFormat="1" x14ac:dyDescent="0.25">
      <c r="A15" s="28"/>
      <c r="B15" s="21" t="s">
        <v>40</v>
      </c>
      <c r="C15" s="7" t="s">
        <v>41</v>
      </c>
      <c r="D15" s="7"/>
      <c r="E15" s="7"/>
      <c r="F15" s="7"/>
      <c r="G15" s="7"/>
      <c r="H15" s="7"/>
      <c r="I15" s="7"/>
      <c r="J15" s="7"/>
      <c r="K15" s="7"/>
      <c r="L15" s="7"/>
      <c r="M15" s="24"/>
      <c r="N15" s="48"/>
      <c r="O15" s="41"/>
    </row>
    <row r="16" spans="1:15" x14ac:dyDescent="0.25">
      <c r="B16" s="20"/>
      <c r="C16" s="5" t="s">
        <v>2</v>
      </c>
      <c r="D16" s="5" t="s">
        <v>6</v>
      </c>
      <c r="E16" s="5"/>
      <c r="F16" s="5"/>
      <c r="G16" s="5"/>
      <c r="H16" s="10"/>
      <c r="I16" s="10"/>
      <c r="J16" s="10"/>
      <c r="K16" s="10"/>
      <c r="L16" s="10"/>
      <c r="M16" s="22"/>
      <c r="N16" s="47" t="s">
        <v>45</v>
      </c>
      <c r="O16" s="40" t="s">
        <v>77</v>
      </c>
    </row>
    <row r="17" spans="1:15" x14ac:dyDescent="0.25">
      <c r="B17" s="20"/>
      <c r="C17" s="5" t="s">
        <v>3</v>
      </c>
      <c r="D17" s="5" t="s">
        <v>1</v>
      </c>
      <c r="E17" s="5"/>
      <c r="F17" s="5"/>
      <c r="G17" s="5"/>
      <c r="H17" s="10"/>
      <c r="I17" s="10"/>
      <c r="J17" s="10"/>
      <c r="K17" s="10"/>
      <c r="L17" s="10"/>
      <c r="M17" s="22"/>
      <c r="N17" s="47" t="s">
        <v>45</v>
      </c>
      <c r="O17" s="40" t="s">
        <v>78</v>
      </c>
    </row>
    <row r="18" spans="1:15" x14ac:dyDescent="0.25">
      <c r="B18" s="20"/>
      <c r="C18" s="5" t="s">
        <v>4</v>
      </c>
      <c r="D18" s="5" t="s">
        <v>30</v>
      </c>
      <c r="E18" s="5"/>
      <c r="F18" s="5"/>
      <c r="G18" s="5"/>
      <c r="H18" s="10"/>
      <c r="I18" s="10"/>
      <c r="J18" s="10">
        <v>5000</v>
      </c>
      <c r="K18" s="10"/>
      <c r="L18" s="10"/>
      <c r="M18" s="22">
        <v>5000</v>
      </c>
      <c r="N18" s="47" t="s">
        <v>45</v>
      </c>
      <c r="O18" s="40" t="s">
        <v>42</v>
      </c>
    </row>
    <row r="19" spans="1:15" ht="15.75" thickBot="1" x14ac:dyDescent="0.3">
      <c r="B19" s="20"/>
      <c r="C19" s="5"/>
      <c r="D19" s="5"/>
      <c r="E19" s="5"/>
      <c r="F19" s="5"/>
      <c r="G19" s="5"/>
      <c r="H19" s="9"/>
      <c r="I19" s="9"/>
      <c r="J19" s="9"/>
      <c r="K19" s="9"/>
      <c r="L19" s="9"/>
      <c r="M19" s="25"/>
      <c r="N19" s="49"/>
      <c r="O19" s="42"/>
    </row>
    <row r="20" spans="1:15" ht="15.75" thickBot="1" x14ac:dyDescent="0.3">
      <c r="B20" s="15" t="s">
        <v>122</v>
      </c>
      <c r="C20" s="11" t="s">
        <v>34</v>
      </c>
      <c r="D20" s="11"/>
      <c r="E20" s="11"/>
      <c r="F20" s="11"/>
      <c r="G20" s="11"/>
      <c r="H20" s="31">
        <f>SUM(H4:H19)</f>
        <v>-25000</v>
      </c>
      <c r="I20" s="31">
        <f t="shared" ref="I20:M20" si="0">SUM(I4:I19)</f>
        <v>-85000</v>
      </c>
      <c r="J20" s="31">
        <f t="shared" si="0"/>
        <v>-20000</v>
      </c>
      <c r="K20" s="31">
        <f t="shared" si="0"/>
        <v>0</v>
      </c>
      <c r="L20" s="31">
        <f t="shared" si="0"/>
        <v>0</v>
      </c>
      <c r="M20" s="32">
        <f t="shared" si="0"/>
        <v>-25000</v>
      </c>
      <c r="N20" s="50"/>
      <c r="O20" s="43"/>
    </row>
    <row r="21" spans="1:15" s="27" customFormat="1" ht="15.75" thickBot="1" x14ac:dyDescent="0.3">
      <c r="B21" s="52"/>
      <c r="C21" s="29"/>
      <c r="D21" s="29"/>
      <c r="E21" s="29"/>
      <c r="F21" s="29"/>
      <c r="G21" s="29"/>
      <c r="H21" s="26"/>
      <c r="I21" s="26"/>
      <c r="J21" s="26"/>
      <c r="K21" s="26"/>
      <c r="L21" s="26"/>
      <c r="M21" s="53"/>
      <c r="N21" s="51"/>
      <c r="O21" s="30"/>
    </row>
    <row r="22" spans="1:15" ht="15.75" x14ac:dyDescent="0.25">
      <c r="B22" s="16" t="s">
        <v>36</v>
      </c>
      <c r="C22" s="12"/>
      <c r="D22" s="12"/>
      <c r="E22" s="12"/>
      <c r="F22" s="12"/>
      <c r="G22" s="12"/>
      <c r="H22" s="13" t="s">
        <v>24</v>
      </c>
      <c r="I22" s="13" t="s">
        <v>25</v>
      </c>
      <c r="J22" s="13" t="s">
        <v>25</v>
      </c>
      <c r="K22" s="13" t="s">
        <v>25</v>
      </c>
      <c r="L22" s="13" t="s">
        <v>25</v>
      </c>
      <c r="M22" s="17" t="s">
        <v>25</v>
      </c>
      <c r="N22" s="44"/>
      <c r="O22" s="37"/>
    </row>
    <row r="23" spans="1:15" x14ac:dyDescent="0.25">
      <c r="B23" s="18"/>
      <c r="C23" s="14"/>
      <c r="D23" s="14"/>
      <c r="E23" s="14"/>
      <c r="F23" s="14"/>
      <c r="G23" s="33"/>
      <c r="H23" s="34">
        <v>0</v>
      </c>
      <c r="I23" s="35">
        <v>1</v>
      </c>
      <c r="J23" s="35">
        <f>I23+1</f>
        <v>2</v>
      </c>
      <c r="K23" s="35">
        <f>J23+1</f>
        <v>3</v>
      </c>
      <c r="L23" s="35">
        <f>K23+1</f>
        <v>4</v>
      </c>
      <c r="M23" s="36">
        <f>L23+1</f>
        <v>5</v>
      </c>
      <c r="N23" s="45" t="s">
        <v>43</v>
      </c>
      <c r="O23" s="38" t="s">
        <v>29</v>
      </c>
    </row>
    <row r="24" spans="1:15" s="4" customFormat="1" x14ac:dyDescent="0.25">
      <c r="A24" s="28"/>
      <c r="B24" s="19" t="s">
        <v>9</v>
      </c>
      <c r="C24" s="8" t="s">
        <v>47</v>
      </c>
      <c r="D24" s="8"/>
      <c r="E24" s="8"/>
      <c r="F24" s="8"/>
      <c r="G24" s="7"/>
      <c r="H24" s="7"/>
      <c r="I24" s="7"/>
      <c r="J24" s="7"/>
      <c r="K24" s="7"/>
      <c r="L24" s="7"/>
      <c r="M24" s="24"/>
      <c r="N24" s="46"/>
      <c r="O24" s="39"/>
    </row>
    <row r="25" spans="1:15" x14ac:dyDescent="0.25">
      <c r="B25" s="20"/>
      <c r="C25" s="5" t="s">
        <v>2</v>
      </c>
      <c r="D25" s="5" t="s">
        <v>137</v>
      </c>
      <c r="E25" s="5"/>
      <c r="F25" s="5"/>
      <c r="G25" s="5"/>
      <c r="H25" s="10"/>
      <c r="I25" s="10">
        <v>120000</v>
      </c>
      <c r="J25" s="10">
        <v>120000</v>
      </c>
      <c r="K25" s="10">
        <v>120000</v>
      </c>
      <c r="L25" s="10">
        <v>120000</v>
      </c>
      <c r="M25" s="22">
        <v>120000</v>
      </c>
      <c r="N25" s="47" t="s">
        <v>45</v>
      </c>
      <c r="O25" s="40" t="s">
        <v>135</v>
      </c>
    </row>
    <row r="26" spans="1:15" x14ac:dyDescent="0.25">
      <c r="B26" s="20"/>
      <c r="C26" s="5" t="s">
        <v>3</v>
      </c>
      <c r="D26" s="5" t="s">
        <v>138</v>
      </c>
      <c r="E26" s="5"/>
      <c r="F26" s="5"/>
      <c r="G26" s="5"/>
      <c r="H26" s="10"/>
      <c r="I26" s="10">
        <v>25000</v>
      </c>
      <c r="J26" s="10">
        <v>30000</v>
      </c>
      <c r="K26" s="10">
        <v>35000</v>
      </c>
      <c r="L26" s="10">
        <v>35000</v>
      </c>
      <c r="M26" s="22">
        <v>35000</v>
      </c>
      <c r="N26" s="47" t="s">
        <v>45</v>
      </c>
      <c r="O26" s="40" t="s">
        <v>139</v>
      </c>
    </row>
    <row r="27" spans="1:15" x14ac:dyDescent="0.25">
      <c r="B27" s="20"/>
      <c r="C27" s="5" t="s">
        <v>4</v>
      </c>
      <c r="D27" s="5" t="s">
        <v>38</v>
      </c>
      <c r="E27" s="5"/>
      <c r="F27" s="5"/>
      <c r="G27" s="6"/>
      <c r="H27" s="10"/>
      <c r="I27" s="10">
        <v>2000</v>
      </c>
      <c r="J27" s="10">
        <v>5000</v>
      </c>
      <c r="K27" s="10">
        <v>7500</v>
      </c>
      <c r="L27" s="10">
        <v>7500</v>
      </c>
      <c r="M27" s="22">
        <v>7500</v>
      </c>
      <c r="N27" s="47" t="s">
        <v>45</v>
      </c>
      <c r="O27" s="40" t="s">
        <v>48</v>
      </c>
    </row>
    <row r="28" spans="1:15" ht="15.75" thickBot="1" x14ac:dyDescent="0.3">
      <c r="B28" s="20"/>
      <c r="C28" s="5"/>
      <c r="D28" s="5"/>
      <c r="E28" s="5"/>
      <c r="F28" s="5"/>
      <c r="G28" s="5"/>
      <c r="H28" s="9"/>
      <c r="I28" s="9"/>
      <c r="J28" s="9"/>
      <c r="K28" s="9"/>
      <c r="L28" s="9"/>
      <c r="M28" s="25"/>
      <c r="N28" s="49"/>
      <c r="O28" s="42"/>
    </row>
    <row r="29" spans="1:15" ht="15.75" thickBot="1" x14ac:dyDescent="0.3">
      <c r="B29" s="15"/>
      <c r="C29" s="11" t="s">
        <v>58</v>
      </c>
      <c r="D29" s="11"/>
      <c r="E29" s="11"/>
      <c r="F29" s="11"/>
      <c r="G29" s="11"/>
      <c r="H29" s="31">
        <f t="shared" ref="H29:M29" si="1">SUM(H25:H28)</f>
        <v>0</v>
      </c>
      <c r="I29" s="31">
        <f t="shared" si="1"/>
        <v>147000</v>
      </c>
      <c r="J29" s="31">
        <f t="shared" si="1"/>
        <v>155000</v>
      </c>
      <c r="K29" s="31">
        <f t="shared" si="1"/>
        <v>162500</v>
      </c>
      <c r="L29" s="31">
        <f t="shared" si="1"/>
        <v>162500</v>
      </c>
      <c r="M29" s="32">
        <f t="shared" si="1"/>
        <v>162500</v>
      </c>
      <c r="N29" s="50"/>
      <c r="O29" s="43"/>
    </row>
    <row r="30" spans="1:15" s="4" customFormat="1" x14ac:dyDescent="0.25">
      <c r="A30" s="28"/>
      <c r="B30" s="19" t="s">
        <v>10</v>
      </c>
      <c r="C30" s="8" t="s">
        <v>46</v>
      </c>
      <c r="D30" s="8"/>
      <c r="E30" s="8"/>
      <c r="F30" s="8"/>
      <c r="G30" s="7"/>
      <c r="H30" s="7"/>
      <c r="I30" s="7"/>
      <c r="J30" s="7"/>
      <c r="K30" s="7"/>
      <c r="L30" s="7"/>
      <c r="M30" s="24"/>
      <c r="N30" s="46"/>
      <c r="O30" s="39"/>
    </row>
    <row r="31" spans="1:15" x14ac:dyDescent="0.25">
      <c r="B31" s="20"/>
      <c r="C31" s="5" t="s">
        <v>2</v>
      </c>
      <c r="D31" s="5" t="s">
        <v>49</v>
      </c>
      <c r="E31" s="5"/>
      <c r="F31" s="5"/>
      <c r="G31" s="5"/>
      <c r="H31" s="10">
        <v>4000</v>
      </c>
      <c r="I31" s="10">
        <v>10000</v>
      </c>
      <c r="J31" s="10">
        <v>12000</v>
      </c>
      <c r="K31" s="10">
        <v>12000</v>
      </c>
      <c r="L31" s="10">
        <v>12000</v>
      </c>
      <c r="M31" s="22">
        <v>12000</v>
      </c>
      <c r="N31" s="47" t="s">
        <v>45</v>
      </c>
      <c r="O31" s="40"/>
    </row>
    <row r="32" spans="1:15" x14ac:dyDescent="0.25">
      <c r="B32" s="20"/>
      <c r="C32" s="5" t="s">
        <v>3</v>
      </c>
      <c r="D32" s="5" t="s">
        <v>50</v>
      </c>
      <c r="E32" s="5"/>
      <c r="F32" s="5"/>
      <c r="G32" s="5"/>
      <c r="H32" s="10"/>
      <c r="I32" s="10">
        <v>105000</v>
      </c>
      <c r="J32" s="10">
        <v>100000</v>
      </c>
      <c r="K32" s="10">
        <v>100000</v>
      </c>
      <c r="L32" s="10">
        <v>95000</v>
      </c>
      <c r="M32" s="22">
        <v>95000</v>
      </c>
      <c r="N32" s="47" t="s">
        <v>45</v>
      </c>
      <c r="O32" s="40"/>
    </row>
    <row r="33" spans="1:15" x14ac:dyDescent="0.25">
      <c r="B33" s="20"/>
      <c r="C33" s="5" t="s">
        <v>4</v>
      </c>
      <c r="D33" s="5" t="s">
        <v>52</v>
      </c>
      <c r="E33" s="5"/>
      <c r="F33" s="5"/>
      <c r="G33" s="6"/>
      <c r="H33" s="10"/>
      <c r="I33" s="10">
        <v>2000</v>
      </c>
      <c r="J33" s="10">
        <v>1000</v>
      </c>
      <c r="K33" s="10"/>
      <c r="L33" s="10"/>
      <c r="M33" s="22"/>
      <c r="N33" s="47" t="s">
        <v>45</v>
      </c>
      <c r="O33" s="40" t="s">
        <v>55</v>
      </c>
    </row>
    <row r="34" spans="1:15" x14ac:dyDescent="0.25">
      <c r="B34" s="20"/>
      <c r="C34" s="5" t="s">
        <v>11</v>
      </c>
      <c r="D34" s="5" t="s">
        <v>53</v>
      </c>
      <c r="E34" s="5"/>
      <c r="F34" s="5"/>
      <c r="G34" s="5"/>
      <c r="H34" s="10"/>
      <c r="I34" s="10"/>
      <c r="J34" s="10">
        <v>1000</v>
      </c>
      <c r="K34" s="10"/>
      <c r="L34" s="10"/>
      <c r="M34" s="22"/>
      <c r="N34" s="47" t="s">
        <v>45</v>
      </c>
      <c r="O34" s="40" t="s">
        <v>56</v>
      </c>
    </row>
    <row r="35" spans="1:15" x14ac:dyDescent="0.25">
      <c r="B35" s="20"/>
      <c r="C35" s="5" t="s">
        <v>12</v>
      </c>
      <c r="D35" s="5" t="s">
        <v>54</v>
      </c>
      <c r="E35" s="5"/>
      <c r="F35" s="5"/>
      <c r="G35" s="5"/>
      <c r="H35" s="10"/>
      <c r="I35" s="10"/>
      <c r="J35" s="10"/>
      <c r="K35" s="10"/>
      <c r="L35" s="10"/>
      <c r="M35" s="22"/>
      <c r="N35" s="47" t="s">
        <v>45</v>
      </c>
      <c r="O35" s="40"/>
    </row>
    <row r="36" spans="1:15" ht="15.75" thickBot="1" x14ac:dyDescent="0.3">
      <c r="B36" s="20"/>
      <c r="C36" s="5"/>
      <c r="D36" s="5"/>
      <c r="E36" s="5"/>
      <c r="F36" s="5"/>
      <c r="G36" s="5"/>
      <c r="H36" s="9"/>
      <c r="I36" s="9"/>
      <c r="J36" s="9"/>
      <c r="K36" s="9"/>
      <c r="L36" s="9"/>
      <c r="M36" s="25"/>
      <c r="N36" s="49"/>
      <c r="O36" s="42"/>
    </row>
    <row r="37" spans="1:15" ht="15.75" thickBot="1" x14ac:dyDescent="0.3">
      <c r="B37" s="15" t="s">
        <v>14</v>
      </c>
      <c r="C37" s="11" t="s">
        <v>58</v>
      </c>
      <c r="D37" s="11"/>
      <c r="E37" s="11"/>
      <c r="F37" s="11"/>
      <c r="G37" s="11"/>
      <c r="H37" s="31">
        <f t="shared" ref="H37:M37" si="2">SUM(H31:H36)</f>
        <v>4000</v>
      </c>
      <c r="I37" s="31">
        <f t="shared" si="2"/>
        <v>117000</v>
      </c>
      <c r="J37" s="31">
        <f t="shared" si="2"/>
        <v>114000</v>
      </c>
      <c r="K37" s="31">
        <f t="shared" si="2"/>
        <v>112000</v>
      </c>
      <c r="L37" s="31">
        <f t="shared" si="2"/>
        <v>107000</v>
      </c>
      <c r="M37" s="32">
        <f t="shared" si="2"/>
        <v>107000</v>
      </c>
      <c r="N37" s="50"/>
      <c r="O37" s="43"/>
    </row>
    <row r="38" spans="1:15" ht="15.75" thickBot="1" x14ac:dyDescent="0.3">
      <c r="B38" s="15" t="s">
        <v>123</v>
      </c>
      <c r="C38" s="11" t="s">
        <v>57</v>
      </c>
      <c r="D38" s="11"/>
      <c r="E38" s="11"/>
      <c r="F38" s="11"/>
      <c r="G38" s="11"/>
      <c r="H38" s="31">
        <f t="shared" ref="H38:M38" si="3">H29-H37</f>
        <v>-4000</v>
      </c>
      <c r="I38" s="31">
        <f t="shared" si="3"/>
        <v>30000</v>
      </c>
      <c r="J38" s="31">
        <f t="shared" si="3"/>
        <v>41000</v>
      </c>
      <c r="K38" s="31">
        <f t="shared" si="3"/>
        <v>50500</v>
      </c>
      <c r="L38" s="31">
        <f t="shared" si="3"/>
        <v>55500</v>
      </c>
      <c r="M38" s="32">
        <f t="shared" si="3"/>
        <v>55500</v>
      </c>
      <c r="N38" s="50"/>
      <c r="O38" s="43"/>
    </row>
    <row r="39" spans="1:15" x14ac:dyDescent="0.25">
      <c r="B39" s="52"/>
      <c r="C39" s="29"/>
      <c r="D39" s="29"/>
      <c r="E39" s="29"/>
      <c r="F39" s="29"/>
      <c r="G39" s="29"/>
      <c r="H39" s="26"/>
      <c r="I39" s="26"/>
      <c r="J39" s="26"/>
      <c r="K39" s="26"/>
      <c r="L39" s="26"/>
      <c r="M39" s="53"/>
      <c r="N39" s="27"/>
      <c r="O39" s="27"/>
    </row>
    <row r="40" spans="1:15" ht="15.75" thickBot="1" x14ac:dyDescent="0.3">
      <c r="B40" s="52"/>
      <c r="C40" s="29"/>
      <c r="D40" s="29"/>
      <c r="E40" s="29"/>
      <c r="F40" s="29"/>
      <c r="G40" s="29"/>
      <c r="H40" s="26"/>
      <c r="I40" s="26"/>
      <c r="J40" s="26"/>
      <c r="K40" s="26"/>
      <c r="L40" s="26"/>
      <c r="M40" s="53"/>
      <c r="N40" s="27"/>
      <c r="O40" s="27"/>
    </row>
    <row r="41" spans="1:15" ht="15.75" x14ac:dyDescent="0.25">
      <c r="B41" s="16" t="s">
        <v>15</v>
      </c>
      <c r="C41" s="12"/>
      <c r="D41" s="12"/>
      <c r="E41" s="12"/>
      <c r="F41" s="12"/>
      <c r="G41" s="12"/>
      <c r="H41" s="13" t="s">
        <v>24</v>
      </c>
      <c r="I41" s="13" t="s">
        <v>25</v>
      </c>
      <c r="J41" s="13" t="s">
        <v>25</v>
      </c>
      <c r="K41" s="13" t="s">
        <v>25</v>
      </c>
      <c r="L41" s="13" t="s">
        <v>25</v>
      </c>
      <c r="M41" s="17" t="s">
        <v>25</v>
      </c>
      <c r="N41" s="27"/>
      <c r="O41" s="27"/>
    </row>
    <row r="42" spans="1:15" x14ac:dyDescent="0.25">
      <c r="B42" s="18"/>
      <c r="C42" s="14"/>
      <c r="D42" s="14"/>
      <c r="E42" s="14"/>
      <c r="F42" s="14"/>
      <c r="G42" s="33"/>
      <c r="H42" s="34">
        <v>0</v>
      </c>
      <c r="I42" s="35">
        <f>I3</f>
        <v>1</v>
      </c>
      <c r="J42" s="35">
        <f>J3</f>
        <v>2</v>
      </c>
      <c r="K42" s="35">
        <f>K3</f>
        <v>3</v>
      </c>
      <c r="L42" s="35">
        <f>L3</f>
        <v>4</v>
      </c>
      <c r="M42" s="36">
        <v>5</v>
      </c>
      <c r="N42" s="27"/>
      <c r="O42" s="27"/>
    </row>
    <row r="43" spans="1:15" s="4" customFormat="1" x14ac:dyDescent="0.25">
      <c r="A43" s="28"/>
      <c r="B43" s="19" t="s">
        <v>16</v>
      </c>
      <c r="C43" s="8" t="s">
        <v>140</v>
      </c>
      <c r="D43" s="8"/>
      <c r="E43" s="8"/>
      <c r="F43" s="8"/>
      <c r="G43" s="7"/>
      <c r="H43" s="56">
        <f>(H20+H38)*-1</f>
        <v>29000</v>
      </c>
      <c r="I43" s="56">
        <f>IF(I$42-$I$42&gt;=$H$50,0,I20)*-1</f>
        <v>85000</v>
      </c>
      <c r="J43" s="56">
        <f>IF(J$42-$I$42&gt;=$H$50,0,J20)*-1</f>
        <v>20000</v>
      </c>
      <c r="K43" s="56">
        <f>IF(K$42-$I$42&gt;=$H$50,0,K20)*-1</f>
        <v>0</v>
      </c>
      <c r="L43" s="56">
        <f>IF(L$42-$I$42&gt;=$H$50,0,L20)*-1</f>
        <v>0</v>
      </c>
      <c r="M43" s="57">
        <f>IF(M$42-$I$42&gt;=$H$50,0,M20)*-1</f>
        <v>25000</v>
      </c>
      <c r="N43" s="27"/>
      <c r="O43" s="27"/>
    </row>
    <row r="44" spans="1:15" s="4" customFormat="1" x14ac:dyDescent="0.25">
      <c r="A44" s="28"/>
      <c r="B44" s="19" t="s">
        <v>17</v>
      </c>
      <c r="C44" s="8" t="s">
        <v>59</v>
      </c>
      <c r="D44" s="8"/>
      <c r="E44" s="8"/>
      <c r="F44" s="8"/>
      <c r="G44" s="7"/>
      <c r="H44" s="56"/>
      <c r="I44" s="56">
        <f>IF(I$42-$I$42&gt;=$H$50,0,I37)</f>
        <v>117000</v>
      </c>
      <c r="J44" s="56">
        <f>IF(J$42-$I$42&gt;=$H$50,0,J37)</f>
        <v>114000</v>
      </c>
      <c r="K44" s="56">
        <f>IF(K$42-$I$42&gt;=$H$50,0,K37)</f>
        <v>112000</v>
      </c>
      <c r="L44" s="56">
        <f>IF(L$42-$I$42&gt;=$H$50,0,L37)</f>
        <v>107000</v>
      </c>
      <c r="M44" s="57">
        <f>IF(M$42-$I$42&gt;=$H$50,0,M37)</f>
        <v>107000</v>
      </c>
      <c r="N44" s="27"/>
      <c r="O44" s="27"/>
    </row>
    <row r="45" spans="1:15" s="4" customFormat="1" x14ac:dyDescent="0.25">
      <c r="A45" s="28"/>
      <c r="B45" s="19" t="s">
        <v>18</v>
      </c>
      <c r="C45" s="8" t="s">
        <v>60</v>
      </c>
      <c r="D45" s="8"/>
      <c r="E45" s="8"/>
      <c r="F45" s="8"/>
      <c r="G45" s="7"/>
      <c r="H45" s="56">
        <f t="shared" ref="H45:M45" si="4">H43+H44</f>
        <v>29000</v>
      </c>
      <c r="I45" s="56">
        <f t="shared" si="4"/>
        <v>202000</v>
      </c>
      <c r="J45" s="56">
        <f t="shared" si="4"/>
        <v>134000</v>
      </c>
      <c r="K45" s="56">
        <f t="shared" si="4"/>
        <v>112000</v>
      </c>
      <c r="L45" s="56">
        <f t="shared" si="4"/>
        <v>107000</v>
      </c>
      <c r="M45" s="57">
        <f t="shared" si="4"/>
        <v>132000</v>
      </c>
      <c r="N45" s="27"/>
      <c r="O45" s="27"/>
    </row>
    <row r="46" spans="1:15" s="4" customFormat="1" x14ac:dyDescent="0.25">
      <c r="A46" s="28"/>
      <c r="B46" s="19" t="s">
        <v>19</v>
      </c>
      <c r="C46" s="8" t="s">
        <v>61</v>
      </c>
      <c r="D46" s="8"/>
      <c r="E46" s="8"/>
      <c r="F46" s="8"/>
      <c r="G46" s="7"/>
      <c r="H46" s="56"/>
      <c r="I46" s="56">
        <f>I29</f>
        <v>147000</v>
      </c>
      <c r="J46" s="56">
        <f>IF(J$42-$I$42&gt;=$H$50,0,J29)</f>
        <v>155000</v>
      </c>
      <c r="K46" s="56">
        <f>IF(K$42-$I$42&gt;=$H$50,0,K29)</f>
        <v>162500</v>
      </c>
      <c r="L46" s="56">
        <f>IF(L$42-$I$42&gt;=$H$50,0,L29)</f>
        <v>162500</v>
      </c>
      <c r="M46" s="57">
        <f>IF(M$42-$I$42&gt;=$H$50,0,M29)</f>
        <v>162500</v>
      </c>
      <c r="N46" s="27"/>
      <c r="O46" s="27"/>
    </row>
    <row r="47" spans="1:15" s="4" customFormat="1" ht="15.75" thickBot="1" x14ac:dyDescent="0.3">
      <c r="A47" s="28"/>
      <c r="B47" s="19" t="s">
        <v>20</v>
      </c>
      <c r="C47" s="8" t="s">
        <v>62</v>
      </c>
      <c r="D47" s="8"/>
      <c r="E47" s="8"/>
      <c r="F47" s="8"/>
      <c r="G47" s="7"/>
      <c r="H47" s="56">
        <f t="shared" ref="H47:M47" si="5">H46-H45</f>
        <v>-29000</v>
      </c>
      <c r="I47" s="56">
        <f t="shared" si="5"/>
        <v>-55000</v>
      </c>
      <c r="J47" s="56">
        <f t="shared" si="5"/>
        <v>21000</v>
      </c>
      <c r="K47" s="56">
        <f t="shared" si="5"/>
        <v>50500</v>
      </c>
      <c r="L47" s="56">
        <f t="shared" si="5"/>
        <v>55500</v>
      </c>
      <c r="M47" s="57">
        <f t="shared" si="5"/>
        <v>30500</v>
      </c>
      <c r="N47" s="27"/>
      <c r="O47" s="27"/>
    </row>
    <row r="48" spans="1:15" ht="15.75" thickBot="1" x14ac:dyDescent="0.3">
      <c r="B48" s="15" t="s">
        <v>21</v>
      </c>
      <c r="C48" s="11" t="s">
        <v>63</v>
      </c>
      <c r="D48" s="11"/>
      <c r="E48" s="11"/>
      <c r="F48" s="11"/>
      <c r="G48" s="11"/>
      <c r="H48" s="31">
        <f>H47</f>
        <v>-29000</v>
      </c>
      <c r="I48" s="31">
        <f>IF(I$42-$I$42&gt;=$H$50,0,H48+I47)</f>
        <v>-84000</v>
      </c>
      <c r="J48" s="31">
        <f>IF(J$42-$I$42&gt;=$H$50,0,I48+J47)</f>
        <v>-63000</v>
      </c>
      <c r="K48" s="31">
        <f>IF(K$42-$I$42&gt;=$H$50,0,J48+K47)</f>
        <v>-12500</v>
      </c>
      <c r="L48" s="31">
        <f>IF(L$42-$I$42&gt;=$H$50,0,K48+L47)</f>
        <v>43000</v>
      </c>
      <c r="M48" s="32">
        <f>IF(M$42-$I$42&gt;=$H$50,0,L48+M47)</f>
        <v>73500</v>
      </c>
      <c r="N48" s="27"/>
      <c r="O48" s="27"/>
    </row>
    <row r="49" spans="1:15" ht="15.75" thickBot="1" x14ac:dyDescent="0.3">
      <c r="B49" s="69"/>
      <c r="C49" s="69"/>
      <c r="D49" s="69"/>
      <c r="E49" s="69"/>
      <c r="F49" s="69"/>
      <c r="G49" s="69"/>
      <c r="H49" s="69"/>
      <c r="I49" s="69">
        <f>IF(H48&gt;0,0,IF(I48&gt;0,12-12*I48/I47,12))</f>
        <v>12</v>
      </c>
      <c r="J49" s="69">
        <f>IF(I48&gt;=0,0,IF(J48&gt;0,12-12*J48/J47,12))</f>
        <v>12</v>
      </c>
      <c r="K49" s="69">
        <f>IF(J48&gt;=0,0,IF(K48&gt;0,12-12*K48/K47,12))</f>
        <v>12</v>
      </c>
      <c r="L49" s="69">
        <f>IF(K48&gt;=0,0,IF(L48&gt;0,12-12*L48/L47,12))</f>
        <v>2.7027027027027035</v>
      </c>
      <c r="M49" s="69">
        <f>IF(L48&gt;=0,0,IF(M48&gt;0,12-12*M48/M47,12))</f>
        <v>0</v>
      </c>
      <c r="N49" s="27"/>
      <c r="O49" s="27"/>
    </row>
    <row r="50" spans="1:15" ht="16.5" thickBot="1" x14ac:dyDescent="0.3">
      <c r="B50" s="16" t="s">
        <v>64</v>
      </c>
      <c r="C50" s="12"/>
      <c r="D50" s="12"/>
      <c r="E50" s="12"/>
      <c r="F50" s="12"/>
      <c r="G50" s="12"/>
      <c r="H50" s="62">
        <v>5</v>
      </c>
      <c r="I50" s="26"/>
      <c r="J50" s="26"/>
      <c r="K50" s="26"/>
      <c r="L50" s="26"/>
      <c r="M50" s="26"/>
      <c r="N50" s="27"/>
      <c r="O50" s="27"/>
    </row>
    <row r="51" spans="1:15" x14ac:dyDescent="0.25">
      <c r="B51" s="72" t="s">
        <v>67</v>
      </c>
      <c r="C51" s="59"/>
      <c r="D51" s="59"/>
      <c r="E51" s="59"/>
      <c r="F51" s="59"/>
      <c r="G51" s="59"/>
      <c r="H51" s="78">
        <f>IF(SUM(H47:M47)&gt;=0,SUM(I49:M49),"n.a.")</f>
        <v>38.702702702702702</v>
      </c>
      <c r="I51" s="26"/>
      <c r="J51" s="26"/>
      <c r="K51" s="26"/>
      <c r="L51" s="26"/>
      <c r="M51" s="26"/>
      <c r="N51" s="27"/>
      <c r="O51" s="27"/>
    </row>
    <row r="52" spans="1:15" x14ac:dyDescent="0.25">
      <c r="B52" s="21" t="s">
        <v>65</v>
      </c>
      <c r="C52" s="60"/>
      <c r="D52" s="60"/>
      <c r="E52" s="60"/>
      <c r="F52" s="60"/>
      <c r="G52" s="60"/>
      <c r="H52" s="63">
        <v>0.09</v>
      </c>
      <c r="I52" s="26"/>
      <c r="J52" s="26"/>
      <c r="K52" s="26"/>
      <c r="L52" s="26"/>
      <c r="M52" s="26"/>
      <c r="N52" s="27"/>
      <c r="O52" s="27"/>
    </row>
    <row r="53" spans="1:15" x14ac:dyDescent="0.25">
      <c r="B53" s="21" t="s">
        <v>106</v>
      </c>
      <c r="C53" s="60"/>
      <c r="D53" s="61"/>
      <c r="E53" s="61"/>
      <c r="F53" s="61"/>
      <c r="G53" s="61"/>
      <c r="H53" s="92">
        <f>NPV(H52,I47:M47)+H47</f>
        <v>36352.33650156916</v>
      </c>
      <c r="I53" s="29"/>
      <c r="J53" s="70"/>
      <c r="K53" s="29"/>
      <c r="L53" s="26"/>
      <c r="M53" s="26"/>
      <c r="N53" s="27"/>
      <c r="O53" s="27"/>
    </row>
    <row r="54" spans="1:15" ht="15.75" thickBot="1" x14ac:dyDescent="0.3">
      <c r="B54" s="73" t="s">
        <v>66</v>
      </c>
      <c r="C54" s="58"/>
      <c r="D54" s="58"/>
      <c r="E54" s="58"/>
      <c r="F54" s="58"/>
      <c r="G54" s="58"/>
      <c r="H54" s="79">
        <f>IF(ISNUMBER(IRR(H47:M47)),IRR(H47:M47),"n.a.")</f>
        <v>0.24401103394297619</v>
      </c>
      <c r="I54" s="29"/>
      <c r="J54" s="29"/>
      <c r="K54" s="29"/>
      <c r="L54" s="26"/>
      <c r="M54" s="26"/>
      <c r="N54" s="27"/>
      <c r="O54" s="27"/>
    </row>
    <row r="55" spans="1:15" ht="15.75" thickBot="1" x14ac:dyDescent="0.3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6"/>
      <c r="M55" s="26"/>
      <c r="N55" s="27"/>
      <c r="O55" s="27"/>
    </row>
    <row r="56" spans="1:15" ht="15.75" x14ac:dyDescent="0.25">
      <c r="B56" s="16" t="s">
        <v>68</v>
      </c>
      <c r="C56" s="12"/>
      <c r="D56" s="12"/>
      <c r="E56" s="12"/>
      <c r="F56" s="12"/>
      <c r="G56" s="12"/>
      <c r="H56" s="13" t="s">
        <v>24</v>
      </c>
      <c r="I56" s="13" t="s">
        <v>25</v>
      </c>
      <c r="J56" s="13" t="s">
        <v>25</v>
      </c>
      <c r="K56" s="13" t="s">
        <v>25</v>
      </c>
      <c r="L56" s="13" t="s">
        <v>25</v>
      </c>
      <c r="M56" s="17" t="s">
        <v>25</v>
      </c>
      <c r="N56" s="27"/>
      <c r="O56" s="27"/>
    </row>
    <row r="57" spans="1:15" x14ac:dyDescent="0.25">
      <c r="B57" s="18"/>
      <c r="C57" s="14"/>
      <c r="D57" s="14"/>
      <c r="E57" s="14"/>
      <c r="F57" s="14"/>
      <c r="G57" s="33"/>
      <c r="H57" s="34">
        <v>0</v>
      </c>
      <c r="I57" s="35">
        <v>1</v>
      </c>
      <c r="J57" s="35">
        <v>2</v>
      </c>
      <c r="K57" s="35">
        <v>3</v>
      </c>
      <c r="L57" s="35">
        <v>4</v>
      </c>
      <c r="M57" s="36">
        <v>5</v>
      </c>
      <c r="N57" s="27"/>
      <c r="O57" s="27"/>
    </row>
    <row r="58" spans="1:15" s="4" customFormat="1" x14ac:dyDescent="0.25">
      <c r="A58" s="28"/>
      <c r="B58" s="19" t="s">
        <v>22</v>
      </c>
      <c r="C58" s="8" t="s">
        <v>69</v>
      </c>
      <c r="D58" s="8"/>
      <c r="E58" s="8"/>
      <c r="F58" s="8"/>
      <c r="G58" s="7"/>
      <c r="H58" s="56">
        <f t="shared" ref="H58:M58" si="6">(1/POWER((1+$H$52),H42))*H47</f>
        <v>-29000</v>
      </c>
      <c r="I58" s="56">
        <f t="shared" si="6"/>
        <v>-50458.715596330272</v>
      </c>
      <c r="J58" s="56">
        <f t="shared" si="6"/>
        <v>17675.279858597758</v>
      </c>
      <c r="K58" s="56">
        <f t="shared" si="6"/>
        <v>38995.265743083743</v>
      </c>
      <c r="L58" s="56">
        <f t="shared" si="6"/>
        <v>39317.599214118403</v>
      </c>
      <c r="M58" s="57">
        <f t="shared" si="6"/>
        <v>19822.907282099528</v>
      </c>
      <c r="N58" s="27"/>
      <c r="O58" s="27"/>
    </row>
    <row r="59" spans="1:15" s="4" customFormat="1" ht="15.75" thickBot="1" x14ac:dyDescent="0.3">
      <c r="A59" s="28"/>
      <c r="B59" s="64" t="s">
        <v>23</v>
      </c>
      <c r="C59" s="65" t="s">
        <v>70</v>
      </c>
      <c r="D59" s="65"/>
      <c r="E59" s="65"/>
      <c r="F59" s="65"/>
      <c r="G59" s="66"/>
      <c r="H59" s="67">
        <f>H58</f>
        <v>-29000</v>
      </c>
      <c r="I59" s="67">
        <f>H59+I58</f>
        <v>-79458.715596330265</v>
      </c>
      <c r="J59" s="67">
        <f>I59+J58</f>
        <v>-61783.435737732507</v>
      </c>
      <c r="K59" s="67">
        <f>J59+K58</f>
        <v>-22788.169994648764</v>
      </c>
      <c r="L59" s="67">
        <f>K59+L58</f>
        <v>16529.429219469639</v>
      </c>
      <c r="M59" s="68">
        <f>L59+M58</f>
        <v>36352.336501569167</v>
      </c>
      <c r="N59" s="27"/>
      <c r="O59" s="27"/>
    </row>
    <row r="60" spans="1:15" x14ac:dyDescent="0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33.950000000000003" customHeight="1" x14ac:dyDescent="0.25">
      <c r="B61" s="71" t="s">
        <v>51</v>
      </c>
      <c r="C61" s="104" t="s">
        <v>73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27"/>
      <c r="O61" s="27"/>
    </row>
  </sheetData>
  <mergeCells count="1">
    <mergeCell ref="C61:M61"/>
  </mergeCells>
  <pageMargins left="0.25" right="0.25" top="0.75" bottom="0.75" header="0.3" footer="0.3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3"/>
  <sheetViews>
    <sheetView topLeftCell="A27" zoomScale="120" zoomScaleNormal="120" workbookViewId="0">
      <selection activeCell="M62" sqref="M62"/>
    </sheetView>
  </sheetViews>
  <sheetFormatPr defaultColWidth="8.85546875" defaultRowHeight="15" x14ac:dyDescent="0.25"/>
  <cols>
    <col min="1" max="1" width="4.7109375" style="27" customWidth="1"/>
    <col min="2" max="6" width="8.85546875" style="1"/>
    <col min="7" max="13" width="11.85546875" style="1" customWidth="1"/>
    <col min="14" max="14" width="9" style="1" customWidth="1"/>
    <col min="15" max="15" width="74.85546875" style="1" customWidth="1"/>
    <col min="16" max="16384" width="8.85546875" style="1"/>
  </cols>
  <sheetData>
    <row r="1" spans="1:15" ht="24" thickBot="1" x14ac:dyDescent="0.4">
      <c r="B1" s="74" t="s">
        <v>72</v>
      </c>
      <c r="C1" s="75"/>
      <c r="D1" s="75"/>
      <c r="E1" s="75"/>
      <c r="F1" s="75"/>
      <c r="G1" s="75"/>
      <c r="H1" s="75"/>
      <c r="I1" s="76"/>
      <c r="J1" s="76"/>
      <c r="K1" s="75"/>
      <c r="L1" s="75"/>
      <c r="M1" s="75"/>
      <c r="N1" s="75"/>
      <c r="O1" s="77"/>
    </row>
    <row r="2" spans="1:15" ht="15.75" x14ac:dyDescent="0.25">
      <c r="B2" s="16" t="s">
        <v>75</v>
      </c>
      <c r="C2" s="12"/>
      <c r="D2" s="12"/>
      <c r="E2" s="12"/>
      <c r="F2" s="12"/>
      <c r="G2" s="12"/>
      <c r="H2" s="13" t="s">
        <v>24</v>
      </c>
      <c r="I2" s="13" t="s">
        <v>25</v>
      </c>
      <c r="J2" s="13" t="s">
        <v>25</v>
      </c>
      <c r="K2" s="13" t="s">
        <v>25</v>
      </c>
      <c r="L2" s="13" t="s">
        <v>25</v>
      </c>
      <c r="M2" s="17" t="s">
        <v>25</v>
      </c>
      <c r="N2" s="44"/>
      <c r="O2" s="37"/>
    </row>
    <row r="3" spans="1:15" x14ac:dyDescent="0.25">
      <c r="B3" s="81"/>
      <c r="C3" s="82"/>
      <c r="D3" s="82"/>
      <c r="E3" s="82"/>
      <c r="F3" s="82"/>
      <c r="G3" s="33"/>
      <c r="H3" s="34">
        <v>0</v>
      </c>
      <c r="I3" s="35">
        <v>1</v>
      </c>
      <c r="J3" s="35">
        <f>I3+1</f>
        <v>2</v>
      </c>
      <c r="K3" s="35">
        <f>J3+1</f>
        <v>3</v>
      </c>
      <c r="L3" s="35">
        <f>K3+1</f>
        <v>4</v>
      </c>
      <c r="M3" s="36">
        <f>L3+1</f>
        <v>5</v>
      </c>
      <c r="N3" s="83" t="s">
        <v>43</v>
      </c>
      <c r="O3" s="38" t="s">
        <v>29</v>
      </c>
    </row>
    <row r="4" spans="1:15" s="4" customFormat="1" x14ac:dyDescent="0.25">
      <c r="A4" s="28"/>
      <c r="B4" s="21" t="s">
        <v>0</v>
      </c>
      <c r="C4" s="7" t="s">
        <v>74</v>
      </c>
      <c r="D4" s="7"/>
      <c r="E4" s="7"/>
      <c r="F4" s="7"/>
      <c r="G4" s="7"/>
      <c r="H4" s="7"/>
      <c r="I4" s="7"/>
      <c r="J4" s="7"/>
      <c r="K4" s="7"/>
      <c r="L4" s="7"/>
      <c r="M4" s="24"/>
      <c r="N4" s="48"/>
      <c r="O4" s="40"/>
    </row>
    <row r="5" spans="1:15" x14ac:dyDescent="0.25">
      <c r="B5" s="20"/>
      <c r="C5" s="5" t="s">
        <v>2</v>
      </c>
      <c r="D5" s="5" t="s">
        <v>6</v>
      </c>
      <c r="E5" s="5"/>
      <c r="F5" s="5"/>
      <c r="G5" s="5"/>
      <c r="H5" s="10"/>
      <c r="I5" s="10"/>
      <c r="J5" s="10"/>
      <c r="K5" s="10"/>
      <c r="L5" s="10"/>
      <c r="M5" s="22"/>
      <c r="N5" s="47" t="s">
        <v>45</v>
      </c>
      <c r="O5" s="40" t="s">
        <v>77</v>
      </c>
    </row>
    <row r="6" spans="1:15" x14ac:dyDescent="0.25">
      <c r="B6" s="20"/>
      <c r="C6" s="5" t="s">
        <v>3</v>
      </c>
      <c r="D6" s="5" t="s">
        <v>1</v>
      </c>
      <c r="E6" s="5"/>
      <c r="F6" s="5"/>
      <c r="G6" s="5"/>
      <c r="H6" s="10"/>
      <c r="I6" s="10"/>
      <c r="J6" s="10"/>
      <c r="K6" s="10"/>
      <c r="L6" s="10"/>
      <c r="M6" s="22"/>
      <c r="N6" s="47" t="s">
        <v>45</v>
      </c>
      <c r="O6" s="40" t="s">
        <v>78</v>
      </c>
    </row>
    <row r="7" spans="1:15" x14ac:dyDescent="0.25">
      <c r="B7" s="20"/>
      <c r="C7" s="5" t="s">
        <v>4</v>
      </c>
      <c r="D7" s="5" t="s">
        <v>30</v>
      </c>
      <c r="E7" s="5"/>
      <c r="F7" s="5"/>
      <c r="G7" s="6"/>
      <c r="H7" s="10"/>
      <c r="I7" s="10"/>
      <c r="J7" s="10">
        <v>5000</v>
      </c>
      <c r="K7" s="10"/>
      <c r="L7" s="10"/>
      <c r="M7" s="22">
        <v>5000</v>
      </c>
      <c r="N7" s="47" t="s">
        <v>45</v>
      </c>
      <c r="O7" s="40" t="s">
        <v>42</v>
      </c>
    </row>
    <row r="8" spans="1:15" s="4" customFormat="1" x14ac:dyDescent="0.25">
      <c r="A8" s="28"/>
      <c r="B8" s="21" t="s">
        <v>5</v>
      </c>
      <c r="C8" s="7" t="s">
        <v>80</v>
      </c>
      <c r="D8" s="7"/>
      <c r="E8" s="7"/>
      <c r="F8" s="7"/>
      <c r="G8" s="7"/>
      <c r="H8" s="7"/>
      <c r="I8" s="7"/>
      <c r="J8" s="7"/>
      <c r="K8" s="7"/>
      <c r="L8" s="7"/>
      <c r="M8" s="23"/>
      <c r="N8" s="48"/>
      <c r="O8" s="41"/>
    </row>
    <row r="9" spans="1:15" x14ac:dyDescent="0.25">
      <c r="B9" s="20"/>
      <c r="C9" s="5" t="s">
        <v>2</v>
      </c>
      <c r="D9" s="5" t="s">
        <v>79</v>
      </c>
      <c r="E9" s="5"/>
      <c r="F9" s="5"/>
      <c r="G9" s="5"/>
      <c r="H9" s="10"/>
      <c r="I9" s="10"/>
      <c r="J9" s="10">
        <v>15000</v>
      </c>
      <c r="K9" s="10">
        <v>25000</v>
      </c>
      <c r="L9" s="10">
        <v>25000</v>
      </c>
      <c r="M9" s="22">
        <v>25000</v>
      </c>
      <c r="N9" s="47" t="s">
        <v>45</v>
      </c>
      <c r="O9" s="40"/>
    </row>
    <row r="10" spans="1:15" x14ac:dyDescent="0.25">
      <c r="B10" s="20"/>
      <c r="C10" s="5" t="s">
        <v>3</v>
      </c>
      <c r="D10" s="5" t="s">
        <v>81</v>
      </c>
      <c r="E10" s="5"/>
      <c r="F10" s="5"/>
      <c r="G10" s="6"/>
      <c r="H10" s="10"/>
      <c r="I10" s="10"/>
      <c r="J10" s="10"/>
      <c r="K10" s="10"/>
      <c r="L10" s="10"/>
      <c r="M10" s="22"/>
      <c r="N10" s="47" t="s">
        <v>45</v>
      </c>
      <c r="O10" s="40"/>
    </row>
    <row r="11" spans="1:15" x14ac:dyDescent="0.25">
      <c r="B11" s="20"/>
      <c r="C11" s="5" t="s">
        <v>4</v>
      </c>
      <c r="D11" s="5" t="s">
        <v>111</v>
      </c>
      <c r="E11" s="5"/>
      <c r="F11" s="5"/>
      <c r="G11" s="6"/>
      <c r="H11" s="10"/>
      <c r="I11" s="10"/>
      <c r="J11" s="10"/>
      <c r="K11" s="10"/>
      <c r="L11" s="10"/>
      <c r="M11" s="22"/>
      <c r="N11" s="47" t="s">
        <v>45</v>
      </c>
      <c r="O11" s="40"/>
    </row>
    <row r="12" spans="1:15" s="4" customFormat="1" x14ac:dyDescent="0.25">
      <c r="A12" s="28"/>
      <c r="B12" s="21" t="s">
        <v>7</v>
      </c>
      <c r="C12" s="7" t="s">
        <v>82</v>
      </c>
      <c r="D12" s="7"/>
      <c r="E12" s="7"/>
      <c r="F12" s="7"/>
      <c r="G12" s="7"/>
      <c r="H12" s="7"/>
      <c r="I12" s="7"/>
      <c r="J12" s="7"/>
      <c r="K12" s="7"/>
      <c r="L12" s="7"/>
      <c r="M12" s="24"/>
      <c r="N12" s="48"/>
      <c r="O12" s="40"/>
    </row>
    <row r="13" spans="1:15" x14ac:dyDescent="0.25">
      <c r="B13" s="20"/>
      <c r="C13" s="5" t="s">
        <v>8</v>
      </c>
      <c r="D13" s="5" t="s">
        <v>83</v>
      </c>
      <c r="E13" s="5"/>
      <c r="F13" s="5"/>
      <c r="G13" s="5"/>
      <c r="H13" s="10"/>
      <c r="I13" s="10">
        <v>25000</v>
      </c>
      <c r="J13" s="10">
        <v>30000</v>
      </c>
      <c r="K13" s="10">
        <v>35000</v>
      </c>
      <c r="L13" s="10">
        <v>35000</v>
      </c>
      <c r="M13" s="22">
        <v>35000</v>
      </c>
      <c r="N13" s="47" t="s">
        <v>45</v>
      </c>
      <c r="O13" s="40" t="s">
        <v>141</v>
      </c>
    </row>
    <row r="14" spans="1:15" x14ac:dyDescent="0.25">
      <c r="B14" s="20"/>
      <c r="C14" s="5" t="s">
        <v>3</v>
      </c>
      <c r="D14" s="5" t="s">
        <v>84</v>
      </c>
      <c r="E14" s="5"/>
      <c r="F14" s="5"/>
      <c r="G14" s="5"/>
      <c r="H14" s="10"/>
      <c r="I14" s="10"/>
      <c r="J14" s="10"/>
      <c r="K14" s="10"/>
      <c r="L14" s="10"/>
      <c r="M14" s="22"/>
      <c r="N14" s="47" t="s">
        <v>45</v>
      </c>
      <c r="O14" s="40"/>
    </row>
    <row r="15" spans="1:15" x14ac:dyDescent="0.25">
      <c r="B15" s="20"/>
      <c r="C15" s="5" t="s">
        <v>4</v>
      </c>
      <c r="D15" s="5" t="s">
        <v>92</v>
      </c>
      <c r="E15" s="5"/>
      <c r="F15" s="5"/>
      <c r="G15" s="5"/>
      <c r="H15" s="10"/>
      <c r="I15" s="10">
        <v>5000</v>
      </c>
      <c r="J15" s="10">
        <v>7500</v>
      </c>
      <c r="K15" s="10">
        <v>10000</v>
      </c>
      <c r="L15" s="10">
        <v>10000</v>
      </c>
      <c r="M15" s="22">
        <v>10000</v>
      </c>
      <c r="N15" s="47" t="s">
        <v>45</v>
      </c>
      <c r="O15" s="40" t="s">
        <v>93</v>
      </c>
    </row>
    <row r="16" spans="1:15" x14ac:dyDescent="0.25">
      <c r="B16" s="20"/>
      <c r="C16" s="5" t="s">
        <v>11</v>
      </c>
      <c r="D16" s="5" t="s">
        <v>112</v>
      </c>
      <c r="E16" s="5"/>
      <c r="F16" s="5"/>
      <c r="G16" s="5"/>
      <c r="H16" s="10"/>
      <c r="I16" s="10"/>
      <c r="J16" s="10"/>
      <c r="K16" s="10"/>
      <c r="L16" s="10"/>
      <c r="M16" s="22"/>
      <c r="N16" s="47" t="s">
        <v>45</v>
      </c>
      <c r="O16" s="40"/>
    </row>
    <row r="17" spans="1:15" s="4" customFormat="1" x14ac:dyDescent="0.25">
      <c r="A17" s="28"/>
      <c r="B17" s="21" t="s">
        <v>40</v>
      </c>
      <c r="C17" s="7" t="s">
        <v>85</v>
      </c>
      <c r="D17" s="7"/>
      <c r="E17" s="7"/>
      <c r="F17" s="7"/>
      <c r="G17" s="7"/>
      <c r="H17" s="7"/>
      <c r="I17" s="7"/>
      <c r="J17" s="7"/>
      <c r="K17" s="7"/>
      <c r="L17" s="7"/>
      <c r="M17" s="24"/>
      <c r="N17" s="48"/>
      <c r="O17" s="40"/>
    </row>
    <row r="18" spans="1:15" x14ac:dyDescent="0.25">
      <c r="B18" s="20"/>
      <c r="C18" s="5" t="s">
        <v>2</v>
      </c>
      <c r="D18" s="5" t="s">
        <v>87</v>
      </c>
      <c r="E18" s="5"/>
      <c r="F18" s="5"/>
      <c r="G18" s="5"/>
      <c r="H18" s="10"/>
      <c r="I18" s="10">
        <v>7500</v>
      </c>
      <c r="J18" s="10">
        <v>10000</v>
      </c>
      <c r="K18" s="10">
        <v>12500</v>
      </c>
      <c r="L18" s="10">
        <v>15000</v>
      </c>
      <c r="M18" s="22">
        <v>15000</v>
      </c>
      <c r="N18" s="47" t="s">
        <v>45</v>
      </c>
      <c r="O18" s="40" t="s">
        <v>86</v>
      </c>
    </row>
    <row r="19" spans="1:15" x14ac:dyDescent="0.25">
      <c r="B19" s="20"/>
      <c r="C19" s="5" t="s">
        <v>3</v>
      </c>
      <c r="D19" s="5" t="s">
        <v>6</v>
      </c>
      <c r="E19" s="5"/>
      <c r="F19" s="5"/>
      <c r="G19" s="5"/>
      <c r="H19" s="10"/>
      <c r="I19" s="10"/>
      <c r="J19" s="10"/>
      <c r="K19" s="10"/>
      <c r="L19" s="10"/>
      <c r="M19" s="22"/>
      <c r="N19" s="47" t="s">
        <v>45</v>
      </c>
      <c r="O19" s="40" t="s">
        <v>91</v>
      </c>
    </row>
    <row r="20" spans="1:15" x14ac:dyDescent="0.25">
      <c r="B20" s="20"/>
      <c r="C20" s="5" t="s">
        <v>4</v>
      </c>
      <c r="D20" s="5" t="s">
        <v>1</v>
      </c>
      <c r="E20" s="5"/>
      <c r="F20" s="5"/>
      <c r="G20" s="5"/>
      <c r="H20" s="10"/>
      <c r="I20" s="10">
        <v>2500</v>
      </c>
      <c r="J20" s="10">
        <v>5000</v>
      </c>
      <c r="K20" s="10">
        <v>7500</v>
      </c>
      <c r="L20" s="10">
        <v>7500</v>
      </c>
      <c r="M20" s="22">
        <v>7500</v>
      </c>
      <c r="N20" s="47" t="s">
        <v>45</v>
      </c>
      <c r="O20" s="40" t="s">
        <v>90</v>
      </c>
    </row>
    <row r="21" spans="1:15" x14ac:dyDescent="0.25">
      <c r="B21" s="20"/>
      <c r="C21" s="5" t="s">
        <v>11</v>
      </c>
      <c r="D21" s="5" t="s">
        <v>88</v>
      </c>
      <c r="E21" s="5"/>
      <c r="F21" s="5"/>
      <c r="G21" s="5"/>
      <c r="H21" s="10"/>
      <c r="I21" s="10"/>
      <c r="J21" s="10">
        <v>7500</v>
      </c>
      <c r="K21" s="10"/>
      <c r="L21" s="10"/>
      <c r="M21" s="22">
        <v>10000</v>
      </c>
      <c r="N21" s="47" t="s">
        <v>45</v>
      </c>
      <c r="O21" s="40" t="s">
        <v>89</v>
      </c>
    </row>
    <row r="22" spans="1:15" ht="15.75" thickBot="1" x14ac:dyDescent="0.3">
      <c r="B22" s="20"/>
      <c r="C22" s="5"/>
      <c r="D22" s="5"/>
      <c r="E22" s="5"/>
      <c r="F22" s="5"/>
      <c r="G22" s="5"/>
      <c r="H22" s="9"/>
      <c r="I22" s="9"/>
      <c r="J22" s="9"/>
      <c r="K22" s="9"/>
      <c r="L22" s="9"/>
      <c r="M22" s="25"/>
      <c r="N22" s="49"/>
      <c r="O22" s="42"/>
    </row>
    <row r="23" spans="1:15" ht="15.75" thickBot="1" x14ac:dyDescent="0.3">
      <c r="B23" s="15" t="s">
        <v>122</v>
      </c>
      <c r="C23" s="11" t="s">
        <v>34</v>
      </c>
      <c r="D23" s="11"/>
      <c r="E23" s="11"/>
      <c r="F23" s="11"/>
      <c r="G23" s="11"/>
      <c r="H23" s="31">
        <f t="shared" ref="H23:M23" si="0">SUM(H4:H22)</f>
        <v>0</v>
      </c>
      <c r="I23" s="31">
        <f t="shared" si="0"/>
        <v>40000</v>
      </c>
      <c r="J23" s="31">
        <f t="shared" si="0"/>
        <v>80000</v>
      </c>
      <c r="K23" s="31">
        <f t="shared" si="0"/>
        <v>90000</v>
      </c>
      <c r="L23" s="31">
        <f t="shared" si="0"/>
        <v>92500</v>
      </c>
      <c r="M23" s="32">
        <f t="shared" si="0"/>
        <v>107500</v>
      </c>
      <c r="N23" s="50"/>
      <c r="O23" s="43"/>
    </row>
    <row r="24" spans="1:15" s="27" customFormat="1" ht="15.75" thickBot="1" x14ac:dyDescent="0.3">
      <c r="B24" s="52"/>
      <c r="C24" s="29"/>
      <c r="D24" s="29"/>
      <c r="E24" s="29"/>
      <c r="F24" s="29"/>
      <c r="G24" s="29"/>
      <c r="H24" s="26"/>
      <c r="I24" s="26"/>
      <c r="J24" s="26"/>
      <c r="K24" s="26"/>
      <c r="L24" s="26"/>
      <c r="M24" s="53"/>
      <c r="N24" s="51"/>
      <c r="O24" s="30"/>
    </row>
    <row r="25" spans="1:15" ht="15.75" x14ac:dyDescent="0.25">
      <c r="B25" s="16" t="s">
        <v>76</v>
      </c>
      <c r="C25" s="12"/>
      <c r="D25" s="12"/>
      <c r="E25" s="12"/>
      <c r="F25" s="12"/>
      <c r="G25" s="12"/>
      <c r="H25" s="13" t="s">
        <v>24</v>
      </c>
      <c r="I25" s="13" t="s">
        <v>25</v>
      </c>
      <c r="J25" s="13" t="s">
        <v>25</v>
      </c>
      <c r="K25" s="13" t="s">
        <v>25</v>
      </c>
      <c r="L25" s="13" t="s">
        <v>25</v>
      </c>
      <c r="M25" s="17" t="s">
        <v>25</v>
      </c>
      <c r="N25" s="44"/>
      <c r="O25" s="37"/>
    </row>
    <row r="26" spans="1:15" x14ac:dyDescent="0.25">
      <c r="B26" s="81"/>
      <c r="C26" s="82"/>
      <c r="D26" s="82"/>
      <c r="E26" s="82"/>
      <c r="F26" s="82"/>
      <c r="G26" s="33"/>
      <c r="H26" s="34">
        <v>0</v>
      </c>
      <c r="I26" s="35">
        <v>1</v>
      </c>
      <c r="J26" s="35">
        <f>I26+1</f>
        <v>2</v>
      </c>
      <c r="K26" s="35">
        <f>J26+1</f>
        <v>3</v>
      </c>
      <c r="L26" s="35">
        <f>K26+1</f>
        <v>4</v>
      </c>
      <c r="M26" s="36">
        <f>L26+1</f>
        <v>5</v>
      </c>
      <c r="N26" s="83" t="s">
        <v>43</v>
      </c>
      <c r="O26" s="38" t="s">
        <v>29</v>
      </c>
    </row>
    <row r="27" spans="1:15" s="4" customFormat="1" x14ac:dyDescent="0.25">
      <c r="A27" s="28"/>
      <c r="B27" s="21" t="s">
        <v>9</v>
      </c>
      <c r="C27" s="7" t="s">
        <v>100</v>
      </c>
      <c r="D27" s="7"/>
      <c r="E27" s="7"/>
      <c r="F27" s="7"/>
      <c r="G27" s="7"/>
      <c r="H27" s="7"/>
      <c r="I27" s="7"/>
      <c r="J27" s="7"/>
      <c r="K27" s="7"/>
      <c r="L27" s="7"/>
      <c r="M27" s="24"/>
      <c r="N27" s="48"/>
      <c r="O27" s="40"/>
    </row>
    <row r="28" spans="1:15" x14ac:dyDescent="0.25">
      <c r="B28" s="20"/>
      <c r="C28" s="5" t="s">
        <v>2</v>
      </c>
      <c r="D28" s="5" t="s">
        <v>94</v>
      </c>
      <c r="E28" s="5"/>
      <c r="F28" s="5"/>
      <c r="G28" s="5"/>
      <c r="H28" s="10">
        <v>-500</v>
      </c>
      <c r="I28" s="10"/>
      <c r="J28" s="10"/>
      <c r="K28" s="10"/>
      <c r="L28" s="10"/>
      <c r="M28" s="22"/>
      <c r="N28" s="47" t="s">
        <v>99</v>
      </c>
      <c r="O28" s="40" t="s">
        <v>95</v>
      </c>
    </row>
    <row r="29" spans="1:15" x14ac:dyDescent="0.25">
      <c r="B29" s="20"/>
      <c r="C29" s="5" t="s">
        <v>3</v>
      </c>
      <c r="D29" s="5" t="s">
        <v>6</v>
      </c>
      <c r="E29" s="5"/>
      <c r="F29" s="5"/>
      <c r="G29" s="5"/>
      <c r="H29" s="10"/>
      <c r="I29" s="10"/>
      <c r="J29" s="10"/>
      <c r="K29" s="10"/>
      <c r="L29" s="10"/>
      <c r="M29" s="22"/>
      <c r="N29" s="47" t="s">
        <v>45</v>
      </c>
      <c r="O29" s="40" t="s">
        <v>96</v>
      </c>
    </row>
    <row r="30" spans="1:15" x14ac:dyDescent="0.25">
      <c r="B30" s="20"/>
      <c r="C30" s="5" t="s">
        <v>4</v>
      </c>
      <c r="D30" s="5" t="s">
        <v>1</v>
      </c>
      <c r="E30" s="5"/>
      <c r="F30" s="5"/>
      <c r="G30" s="6"/>
      <c r="H30" s="10">
        <v>25000</v>
      </c>
      <c r="I30" s="10"/>
      <c r="J30" s="10"/>
      <c r="K30" s="10"/>
      <c r="L30" s="10"/>
      <c r="M30" s="22"/>
      <c r="N30" s="47" t="s">
        <v>45</v>
      </c>
      <c r="O30" s="40" t="s">
        <v>97</v>
      </c>
    </row>
    <row r="31" spans="1:15" x14ac:dyDescent="0.25">
      <c r="B31" s="20"/>
      <c r="C31" s="5" t="s">
        <v>11</v>
      </c>
      <c r="D31" s="5" t="s">
        <v>88</v>
      </c>
      <c r="E31" s="5"/>
      <c r="F31" s="5"/>
      <c r="G31" s="6"/>
      <c r="H31" s="10"/>
      <c r="I31" s="10"/>
      <c r="J31" s="10"/>
      <c r="K31" s="10"/>
      <c r="L31" s="10"/>
      <c r="M31" s="22"/>
      <c r="N31" s="47" t="s">
        <v>45</v>
      </c>
      <c r="O31" s="40" t="s">
        <v>98</v>
      </c>
    </row>
    <row r="32" spans="1:15" x14ac:dyDescent="0.25">
      <c r="B32" s="20"/>
      <c r="C32" s="5" t="s">
        <v>12</v>
      </c>
      <c r="D32" s="5" t="s">
        <v>101</v>
      </c>
      <c r="E32" s="5"/>
      <c r="F32" s="5"/>
      <c r="G32" s="6"/>
      <c r="H32" s="10"/>
      <c r="I32" s="10"/>
      <c r="J32" s="10">
        <f>SUM($H$28:$H$31)*$H$71</f>
        <v>2205</v>
      </c>
      <c r="K32" s="10">
        <f>SUM($H$28:$H$31)*$H$71</f>
        <v>2205</v>
      </c>
      <c r="L32" s="10">
        <f>SUM($H$28:$H$31)*$H$71</f>
        <v>2205</v>
      </c>
      <c r="M32" s="10">
        <f>SUM($H$28:$H$31)*$H$71</f>
        <v>2205</v>
      </c>
      <c r="N32" s="47" t="s">
        <v>45</v>
      </c>
      <c r="O32" s="42" t="s">
        <v>107</v>
      </c>
    </row>
    <row r="33" spans="1:27" s="4" customFormat="1" x14ac:dyDescent="0.25">
      <c r="A33" s="28"/>
      <c r="B33" s="21" t="s">
        <v>10</v>
      </c>
      <c r="C33" s="7" t="s">
        <v>26</v>
      </c>
      <c r="D33" s="7"/>
      <c r="E33" s="7"/>
      <c r="F33" s="7"/>
      <c r="G33" s="7"/>
      <c r="H33" s="7"/>
      <c r="I33" s="7"/>
      <c r="J33" s="7"/>
      <c r="K33" s="7"/>
      <c r="L33" s="7"/>
      <c r="M33" s="24"/>
      <c r="N33" s="48"/>
      <c r="O33" s="40"/>
    </row>
    <row r="34" spans="1:27" x14ac:dyDescent="0.25">
      <c r="B34" s="20"/>
      <c r="C34" s="5" t="s">
        <v>2</v>
      </c>
      <c r="D34" s="5" t="s">
        <v>27</v>
      </c>
      <c r="E34" s="5"/>
      <c r="F34" s="5"/>
      <c r="G34" s="5"/>
      <c r="H34" s="10">
        <v>-50000</v>
      </c>
      <c r="I34" s="10">
        <v>-10000</v>
      </c>
      <c r="J34" s="10"/>
      <c r="K34" s="10"/>
      <c r="L34" s="10"/>
      <c r="M34" s="22"/>
      <c r="N34" s="47" t="s">
        <v>44</v>
      </c>
      <c r="O34" s="40" t="s">
        <v>104</v>
      </c>
    </row>
    <row r="35" spans="1:27" x14ac:dyDescent="0.25">
      <c r="B35" s="20"/>
      <c r="C35" s="5" t="s">
        <v>3</v>
      </c>
      <c r="D35" s="103" t="s">
        <v>28</v>
      </c>
      <c r="E35" s="5"/>
      <c r="F35" s="5"/>
      <c r="G35" s="5"/>
      <c r="H35" s="10"/>
      <c r="I35" s="10">
        <v>-75000</v>
      </c>
      <c r="J35" s="10">
        <v>-25000</v>
      </c>
      <c r="K35" s="10"/>
      <c r="L35" s="10"/>
      <c r="M35" s="22"/>
      <c r="N35" s="47" t="s">
        <v>44</v>
      </c>
      <c r="O35" s="40" t="s">
        <v>103</v>
      </c>
    </row>
    <row r="36" spans="1:27" x14ac:dyDescent="0.25">
      <c r="B36" s="20"/>
      <c r="C36" s="5" t="s">
        <v>4</v>
      </c>
      <c r="D36" s="5" t="s">
        <v>102</v>
      </c>
      <c r="E36" s="5"/>
      <c r="F36" s="5"/>
      <c r="G36" s="6"/>
      <c r="H36" s="10"/>
      <c r="I36" s="10"/>
      <c r="J36" s="10"/>
      <c r="K36" s="10"/>
      <c r="L36" s="10"/>
      <c r="M36" s="22"/>
      <c r="N36" s="47" t="s">
        <v>44</v>
      </c>
      <c r="O36" s="40" t="s">
        <v>131</v>
      </c>
    </row>
    <row r="37" spans="1:27" x14ac:dyDescent="0.25">
      <c r="B37" s="20"/>
      <c r="C37" s="5" t="s">
        <v>11</v>
      </c>
      <c r="D37" s="5" t="s">
        <v>108</v>
      </c>
      <c r="E37" s="5"/>
      <c r="F37" s="5"/>
      <c r="G37" s="6"/>
      <c r="H37" s="10"/>
      <c r="I37" s="10">
        <f>SUM(H34:H36)*1/2*H71</f>
        <v>-2250</v>
      </c>
      <c r="J37" s="10">
        <f>SUM(H34:I36)*1/2*H71</f>
        <v>-6075</v>
      </c>
      <c r="K37" s="10">
        <f>SUM(H34:J36)*1/2*H71</f>
        <v>-7200</v>
      </c>
      <c r="L37" s="10">
        <f>SUM(H34:K36)*1/2*H71</f>
        <v>-7200</v>
      </c>
      <c r="M37" s="10">
        <f>SUM(H34:L36)*1/2*H71</f>
        <v>-7200</v>
      </c>
      <c r="N37" s="47" t="s">
        <v>44</v>
      </c>
      <c r="O37" s="42" t="s">
        <v>109</v>
      </c>
    </row>
    <row r="38" spans="1:27" s="4" customFormat="1" x14ac:dyDescent="0.25">
      <c r="A38" s="28"/>
      <c r="B38" s="21" t="s">
        <v>14</v>
      </c>
      <c r="C38" s="7" t="s">
        <v>110</v>
      </c>
      <c r="D38" s="7"/>
      <c r="E38" s="7"/>
      <c r="F38" s="7"/>
      <c r="G38" s="7"/>
      <c r="H38" s="7"/>
      <c r="I38" s="7"/>
      <c r="J38" s="7"/>
      <c r="K38" s="7"/>
      <c r="L38" s="7"/>
      <c r="M38" s="24"/>
      <c r="N38" s="47"/>
      <c r="O38" s="40"/>
    </row>
    <row r="39" spans="1:27" x14ac:dyDescent="0.25">
      <c r="B39" s="20"/>
      <c r="C39" s="5" t="s">
        <v>2</v>
      </c>
      <c r="D39" s="5" t="s">
        <v>39</v>
      </c>
      <c r="E39" s="5"/>
      <c r="F39" s="5"/>
      <c r="G39" s="6"/>
      <c r="H39" s="10"/>
      <c r="I39" s="10">
        <v>120000</v>
      </c>
      <c r="J39" s="10">
        <v>120000</v>
      </c>
      <c r="K39" s="10">
        <v>120000</v>
      </c>
      <c r="L39" s="10">
        <v>120000</v>
      </c>
      <c r="M39" s="22">
        <v>120000</v>
      </c>
      <c r="N39" s="47" t="s">
        <v>45</v>
      </c>
      <c r="O39" s="40" t="s">
        <v>135</v>
      </c>
    </row>
    <row r="40" spans="1:27" x14ac:dyDescent="0.25">
      <c r="B40" s="20"/>
      <c r="C40" s="5" t="s">
        <v>3</v>
      </c>
      <c r="D40" s="5" t="s">
        <v>49</v>
      </c>
      <c r="E40" s="5"/>
      <c r="F40" s="5"/>
      <c r="G40" s="5"/>
      <c r="H40" s="10">
        <v>-4000</v>
      </c>
      <c r="I40" s="10">
        <v>-10000</v>
      </c>
      <c r="J40" s="10">
        <v>-12000</v>
      </c>
      <c r="K40" s="10">
        <v>-12000</v>
      </c>
      <c r="L40" s="10">
        <v>-12000</v>
      </c>
      <c r="M40" s="22">
        <v>-12000</v>
      </c>
      <c r="N40" s="47" t="s">
        <v>44</v>
      </c>
      <c r="O40" s="40"/>
    </row>
    <row r="41" spans="1:27" x14ac:dyDescent="0.25">
      <c r="B41" s="20"/>
      <c r="C41" s="5" t="s">
        <v>4</v>
      </c>
      <c r="D41" s="5" t="s">
        <v>142</v>
      </c>
      <c r="E41" s="5"/>
      <c r="F41" s="5"/>
      <c r="G41" s="5"/>
      <c r="H41" s="10"/>
      <c r="I41" s="10">
        <v>-105000</v>
      </c>
      <c r="J41" s="10">
        <v>-100000</v>
      </c>
      <c r="K41" s="10">
        <v>-100000</v>
      </c>
      <c r="L41" s="10">
        <v>-95000</v>
      </c>
      <c r="M41" s="22">
        <v>-95000</v>
      </c>
      <c r="N41" s="47" t="s">
        <v>44</v>
      </c>
      <c r="O41" s="40"/>
    </row>
    <row r="42" spans="1:27" x14ac:dyDescent="0.25">
      <c r="B42" s="20"/>
      <c r="C42" s="5" t="s">
        <v>11</v>
      </c>
      <c r="D42" s="5" t="s">
        <v>52</v>
      </c>
      <c r="E42" s="5"/>
      <c r="F42" s="5"/>
      <c r="G42" s="6"/>
      <c r="H42" s="10"/>
      <c r="I42" s="10">
        <v>-2000</v>
      </c>
      <c r="J42" s="10">
        <v>-1000</v>
      </c>
      <c r="K42" s="10"/>
      <c r="L42" s="10"/>
      <c r="M42" s="22"/>
      <c r="N42" s="47" t="s">
        <v>44</v>
      </c>
      <c r="O42" s="40" t="s">
        <v>143</v>
      </c>
    </row>
    <row r="43" spans="1:27" x14ac:dyDescent="0.25">
      <c r="B43" s="20"/>
      <c r="C43" s="5" t="s">
        <v>12</v>
      </c>
      <c r="D43" s="5" t="s">
        <v>53</v>
      </c>
      <c r="E43" s="5"/>
      <c r="F43" s="5"/>
      <c r="G43" s="6"/>
      <c r="H43" s="10"/>
      <c r="I43" s="10"/>
      <c r="J43" s="10">
        <v>-1000</v>
      </c>
      <c r="K43" s="10"/>
      <c r="L43" s="10"/>
      <c r="M43" s="22"/>
      <c r="N43" s="47" t="s">
        <v>44</v>
      </c>
      <c r="O43" s="40" t="s">
        <v>56</v>
      </c>
    </row>
    <row r="44" spans="1:27" x14ac:dyDescent="0.25">
      <c r="B44" s="20"/>
      <c r="C44" s="5" t="s">
        <v>13</v>
      </c>
      <c r="D44" s="5" t="s">
        <v>54</v>
      </c>
      <c r="E44" s="5"/>
      <c r="F44" s="5"/>
      <c r="G44" s="6"/>
      <c r="H44" s="10"/>
      <c r="I44" s="10"/>
      <c r="J44" s="10"/>
      <c r="K44" s="10"/>
      <c r="L44" s="10"/>
      <c r="M44" s="22"/>
      <c r="N44" s="47" t="s">
        <v>44</v>
      </c>
      <c r="O44" s="40"/>
    </row>
    <row r="45" spans="1:27" s="4" customFormat="1" ht="15.75" thickBot="1" x14ac:dyDescent="0.3">
      <c r="A45" s="28"/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24"/>
      <c r="N45" s="47"/>
      <c r="O45" s="40"/>
      <c r="P45" s="1"/>
    </row>
    <row r="46" spans="1:27" ht="15.75" thickBot="1" x14ac:dyDescent="0.3">
      <c r="B46" s="15" t="s">
        <v>123</v>
      </c>
      <c r="C46" s="11" t="s">
        <v>34</v>
      </c>
      <c r="D46" s="11"/>
      <c r="E46" s="11"/>
      <c r="F46" s="11"/>
      <c r="G46" s="11"/>
      <c r="H46" s="31">
        <f>SUM(H28:H45)</f>
        <v>-29500</v>
      </c>
      <c r="I46" s="31">
        <f t="shared" ref="I46:M46" si="1">SUM(I28:I45)</f>
        <v>-84250</v>
      </c>
      <c r="J46" s="31">
        <f t="shared" si="1"/>
        <v>-22870</v>
      </c>
      <c r="K46" s="31">
        <f t="shared" si="1"/>
        <v>3005</v>
      </c>
      <c r="L46" s="31">
        <f t="shared" si="1"/>
        <v>8005</v>
      </c>
      <c r="M46" s="31">
        <f t="shared" si="1"/>
        <v>8005</v>
      </c>
      <c r="N46" s="50"/>
      <c r="O46" s="4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27" customFormat="1" ht="15.75" thickBot="1" x14ac:dyDescent="0.3">
      <c r="B47" s="52"/>
      <c r="C47" s="29"/>
      <c r="D47" s="29"/>
      <c r="E47" s="29"/>
      <c r="F47" s="29"/>
      <c r="G47" s="29"/>
      <c r="H47" s="26"/>
      <c r="I47" s="26"/>
      <c r="J47" s="26"/>
      <c r="K47" s="26"/>
      <c r="L47" s="26"/>
      <c r="M47" s="53"/>
      <c r="N47" s="51"/>
      <c r="O47" s="30"/>
      <c r="P47" s="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x14ac:dyDescent="0.25">
      <c r="B48" s="16" t="s">
        <v>113</v>
      </c>
      <c r="C48" s="12"/>
      <c r="D48" s="12"/>
      <c r="E48" s="12"/>
      <c r="F48" s="12"/>
      <c r="G48" s="12"/>
      <c r="H48" s="13" t="s">
        <v>24</v>
      </c>
      <c r="I48" s="13" t="s">
        <v>25</v>
      </c>
      <c r="J48" s="13" t="s">
        <v>25</v>
      </c>
      <c r="K48" s="13" t="s">
        <v>25</v>
      </c>
      <c r="L48" s="13" t="s">
        <v>25</v>
      </c>
      <c r="M48" s="17" t="s">
        <v>25</v>
      </c>
      <c r="N48" s="44"/>
      <c r="O48" s="37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25">
      <c r="B49" s="81"/>
      <c r="C49" s="82"/>
      <c r="D49" s="82"/>
      <c r="E49" s="82"/>
      <c r="F49" s="82"/>
      <c r="G49" s="33"/>
      <c r="H49" s="34">
        <v>0</v>
      </c>
      <c r="I49" s="35">
        <v>1</v>
      </c>
      <c r="J49" s="35">
        <f>I49+1</f>
        <v>2</v>
      </c>
      <c r="K49" s="35">
        <f>J49+1</f>
        <v>3</v>
      </c>
      <c r="L49" s="35">
        <f>K49+1</f>
        <v>4</v>
      </c>
      <c r="M49" s="36">
        <f>L49+1</f>
        <v>5</v>
      </c>
      <c r="N49" s="83" t="s">
        <v>43</v>
      </c>
      <c r="O49" s="38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4" customFormat="1" x14ac:dyDescent="0.25">
      <c r="A50" s="28"/>
      <c r="B50" s="21" t="s">
        <v>16</v>
      </c>
      <c r="C50" s="7" t="s">
        <v>114</v>
      </c>
      <c r="D50" s="7"/>
      <c r="E50" s="7"/>
      <c r="F50" s="7"/>
      <c r="G50" s="7"/>
      <c r="H50" s="7"/>
      <c r="I50" s="7"/>
      <c r="J50" s="7"/>
      <c r="K50" s="7"/>
      <c r="L50" s="7"/>
      <c r="M50" s="24"/>
      <c r="N50" s="48"/>
      <c r="O50" s="40"/>
      <c r="P50" s="1"/>
    </row>
    <row r="51" spans="1:27" x14ac:dyDescent="0.25">
      <c r="B51" s="20"/>
      <c r="C51" s="5" t="s">
        <v>8</v>
      </c>
      <c r="D51" s="5" t="s">
        <v>33</v>
      </c>
      <c r="E51" s="5"/>
      <c r="F51" s="5"/>
      <c r="G51" s="5"/>
      <c r="H51" s="10"/>
      <c r="I51" s="10"/>
      <c r="J51" s="10"/>
      <c r="K51" s="10"/>
      <c r="L51" s="10"/>
      <c r="M51" s="22">
        <v>-30000</v>
      </c>
      <c r="N51" s="47" t="s">
        <v>44</v>
      </c>
      <c r="O51" s="40" t="s">
        <v>134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25">
      <c r="B52" s="20"/>
      <c r="C52" s="5" t="s">
        <v>3</v>
      </c>
      <c r="D52" s="5" t="s">
        <v>32</v>
      </c>
      <c r="E52" s="5"/>
      <c r="F52" s="5"/>
      <c r="G52" s="5"/>
      <c r="H52" s="10"/>
      <c r="I52" s="10"/>
      <c r="J52" s="10"/>
      <c r="K52" s="10"/>
      <c r="L52" s="10"/>
      <c r="M52" s="22"/>
      <c r="N52" s="47" t="s">
        <v>44</v>
      </c>
      <c r="O52" s="40" t="s">
        <v>105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thickBot="1" x14ac:dyDescent="0.3">
      <c r="B53" s="20"/>
      <c r="C53" s="5"/>
      <c r="D53" s="5"/>
      <c r="E53" s="5"/>
      <c r="F53" s="5"/>
      <c r="G53" s="5"/>
      <c r="H53" s="9"/>
      <c r="I53" s="9"/>
      <c r="J53" s="9"/>
      <c r="K53" s="9"/>
      <c r="L53" s="9"/>
      <c r="M53" s="25"/>
      <c r="N53" s="49"/>
      <c r="O53" s="42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thickBot="1" x14ac:dyDescent="0.3">
      <c r="B54" s="15" t="s">
        <v>17</v>
      </c>
      <c r="C54" s="11" t="s">
        <v>34</v>
      </c>
      <c r="D54" s="11"/>
      <c r="E54" s="11"/>
      <c r="F54" s="11"/>
      <c r="G54" s="11"/>
      <c r="H54" s="31">
        <f>SUM(H51:H53)</f>
        <v>0</v>
      </c>
      <c r="I54" s="31">
        <f t="shared" ref="I54:M54" si="2">SUM(I51:I53)</f>
        <v>0</v>
      </c>
      <c r="J54" s="31">
        <f t="shared" si="2"/>
        <v>0</v>
      </c>
      <c r="K54" s="31">
        <f t="shared" si="2"/>
        <v>0</v>
      </c>
      <c r="L54" s="31">
        <f t="shared" si="2"/>
        <v>0</v>
      </c>
      <c r="M54" s="31">
        <f t="shared" si="2"/>
        <v>-30000</v>
      </c>
      <c r="N54" s="50"/>
      <c r="O54" s="4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thickBot="1" x14ac:dyDescent="0.3">
      <c r="B55" s="54"/>
      <c r="C55" s="2"/>
      <c r="D55" s="2"/>
      <c r="E55" s="2"/>
      <c r="F55" s="2"/>
      <c r="G55" s="2"/>
      <c r="H55" s="3"/>
      <c r="I55" s="3"/>
      <c r="J55" s="3"/>
      <c r="K55" s="3"/>
      <c r="L55" s="3"/>
      <c r="M55" s="5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x14ac:dyDescent="0.25">
      <c r="B56" s="16" t="s">
        <v>115</v>
      </c>
      <c r="C56" s="12"/>
      <c r="D56" s="12"/>
      <c r="E56" s="12"/>
      <c r="F56" s="12"/>
      <c r="G56" s="12"/>
      <c r="H56" s="13" t="s">
        <v>24</v>
      </c>
      <c r="I56" s="13" t="s">
        <v>25</v>
      </c>
      <c r="J56" s="13" t="s">
        <v>25</v>
      </c>
      <c r="K56" s="13" t="s">
        <v>25</v>
      </c>
      <c r="L56" s="13" t="s">
        <v>25</v>
      </c>
      <c r="M56" s="17" t="s">
        <v>25</v>
      </c>
      <c r="N56" s="44"/>
      <c r="O56" s="37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25">
      <c r="B57" s="81"/>
      <c r="C57" s="82"/>
      <c r="D57" s="82"/>
      <c r="E57" s="82"/>
      <c r="F57" s="82"/>
      <c r="G57" s="33"/>
      <c r="H57" s="34">
        <v>0</v>
      </c>
      <c r="I57" s="35">
        <v>1</v>
      </c>
      <c r="J57" s="35">
        <f>I57+1</f>
        <v>2</v>
      </c>
      <c r="K57" s="35">
        <f>J57+1</f>
        <v>3</v>
      </c>
      <c r="L57" s="35">
        <f>K57+1</f>
        <v>4</v>
      </c>
      <c r="M57" s="36">
        <f>L57+1</f>
        <v>5</v>
      </c>
      <c r="N57" s="83" t="s">
        <v>43</v>
      </c>
      <c r="O57" s="38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4" customFormat="1" x14ac:dyDescent="0.25">
      <c r="A58" s="28"/>
      <c r="B58" s="21" t="s">
        <v>119</v>
      </c>
      <c r="C58" s="7" t="s">
        <v>120</v>
      </c>
      <c r="D58" s="7"/>
      <c r="E58" s="7"/>
      <c r="F58" s="7"/>
      <c r="G58" s="7"/>
      <c r="H58" s="7"/>
      <c r="I58" s="7"/>
      <c r="J58" s="7"/>
      <c r="K58" s="7"/>
      <c r="L58" s="7"/>
      <c r="M58" s="57"/>
      <c r="N58" s="84"/>
      <c r="O58" s="40"/>
      <c r="P58" s="1"/>
    </row>
    <row r="59" spans="1:27" x14ac:dyDescent="0.25">
      <c r="B59" s="20"/>
      <c r="C59" s="5" t="s">
        <v>2</v>
      </c>
      <c r="D59" s="5" t="s">
        <v>117</v>
      </c>
      <c r="E59" s="5"/>
      <c r="F59" s="5"/>
      <c r="G59" s="5"/>
      <c r="H59" s="10"/>
      <c r="I59" s="10"/>
      <c r="J59" s="10">
        <v>-2500</v>
      </c>
      <c r="K59" s="10">
        <v>-2500</v>
      </c>
      <c r="L59" s="10">
        <v>-5000</v>
      </c>
      <c r="M59" s="22">
        <v>-7500</v>
      </c>
      <c r="N59" s="47" t="s">
        <v>44</v>
      </c>
      <c r="O59" s="40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25">
      <c r="B60" s="20"/>
      <c r="C60" s="5" t="s">
        <v>3</v>
      </c>
      <c r="D60" s="5" t="s">
        <v>118</v>
      </c>
      <c r="E60" s="5"/>
      <c r="F60" s="5"/>
      <c r="G60" s="5"/>
      <c r="H60" s="10"/>
      <c r="I60" s="10">
        <v>-3500</v>
      </c>
      <c r="J60" s="10">
        <v>-1500</v>
      </c>
      <c r="K60" s="10">
        <v>-500</v>
      </c>
      <c r="L60" s="10">
        <v>-250</v>
      </c>
      <c r="M60" s="22">
        <v>-150</v>
      </c>
      <c r="N60" s="47" t="s">
        <v>44</v>
      </c>
      <c r="O60" s="40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thickBot="1" x14ac:dyDescent="0.3">
      <c r="B61" s="20"/>
      <c r="C61" s="5" t="s">
        <v>4</v>
      </c>
      <c r="D61" s="5" t="s">
        <v>116</v>
      </c>
      <c r="E61" s="5"/>
      <c r="F61" s="5"/>
      <c r="G61" s="5"/>
      <c r="H61" s="10"/>
      <c r="I61" s="10">
        <v>-2500</v>
      </c>
      <c r="J61" s="10">
        <v>-1000</v>
      </c>
      <c r="K61" s="10">
        <v>-500</v>
      </c>
      <c r="L61" s="10">
        <v>-500</v>
      </c>
      <c r="M61" s="22">
        <v>-1500</v>
      </c>
      <c r="N61" s="47" t="s">
        <v>44</v>
      </c>
      <c r="O61" s="40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thickBot="1" x14ac:dyDescent="0.3">
      <c r="B62" s="15" t="s">
        <v>23</v>
      </c>
      <c r="C62" s="11" t="s">
        <v>34</v>
      </c>
      <c r="D62" s="11"/>
      <c r="E62" s="11"/>
      <c r="F62" s="11"/>
      <c r="G62" s="11"/>
      <c r="H62" s="31">
        <f>SUM(H59:H61)</f>
        <v>0</v>
      </c>
      <c r="I62" s="31">
        <f t="shared" ref="I62" si="3">SUM(I59:I61)</f>
        <v>-6000</v>
      </c>
      <c r="J62" s="31">
        <f t="shared" ref="J62" si="4">SUM(J59:J61)</f>
        <v>-5000</v>
      </c>
      <c r="K62" s="31">
        <f t="shared" ref="K62" si="5">SUM(K59:K61)</f>
        <v>-3500</v>
      </c>
      <c r="L62" s="31">
        <f t="shared" ref="L62" si="6">SUM(L59:L61)</f>
        <v>-5750</v>
      </c>
      <c r="M62" s="31">
        <f t="shared" ref="M62" si="7">SUM(M59:M61)</f>
        <v>-9150</v>
      </c>
      <c r="N62" s="50"/>
      <c r="O62" s="4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27" customFormat="1" ht="15.75" thickBot="1" x14ac:dyDescent="0.3">
      <c r="B63" s="52"/>
      <c r="C63" s="29"/>
      <c r="D63" s="29"/>
      <c r="E63" s="29"/>
      <c r="F63" s="29"/>
      <c r="G63" s="29"/>
      <c r="H63" s="26"/>
      <c r="I63" s="26"/>
      <c r="J63" s="26"/>
      <c r="K63" s="26"/>
      <c r="L63" s="26"/>
      <c r="M63" s="53"/>
      <c r="P63" s="1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x14ac:dyDescent="0.25">
      <c r="B64" s="16" t="s">
        <v>121</v>
      </c>
      <c r="C64" s="12"/>
      <c r="D64" s="12"/>
      <c r="E64" s="12"/>
      <c r="F64" s="12"/>
      <c r="G64" s="12"/>
      <c r="H64" s="13" t="s">
        <v>24</v>
      </c>
      <c r="I64" s="13" t="s">
        <v>25</v>
      </c>
      <c r="J64" s="13" t="s">
        <v>25</v>
      </c>
      <c r="K64" s="13" t="s">
        <v>25</v>
      </c>
      <c r="L64" s="13" t="s">
        <v>25</v>
      </c>
      <c r="M64" s="17" t="s">
        <v>25</v>
      </c>
      <c r="N64" s="27"/>
      <c r="O64" s="27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25">
      <c r="B65" s="18"/>
      <c r="C65" s="14"/>
      <c r="D65" s="14"/>
      <c r="E65" s="14"/>
      <c r="F65" s="14"/>
      <c r="G65" s="33"/>
      <c r="H65" s="34">
        <v>0</v>
      </c>
      <c r="I65" s="35">
        <v>1</v>
      </c>
      <c r="J65" s="35">
        <v>2</v>
      </c>
      <c r="K65" s="35">
        <v>3</v>
      </c>
      <c r="L65" s="35">
        <v>4</v>
      </c>
      <c r="M65" s="36">
        <v>5</v>
      </c>
      <c r="N65" s="27"/>
      <c r="O65" s="27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4" customFormat="1" ht="15.75" thickBot="1" x14ac:dyDescent="0.3">
      <c r="A66" s="28"/>
      <c r="B66" s="19" t="s">
        <v>125</v>
      </c>
      <c r="C66" s="8" t="s">
        <v>124</v>
      </c>
      <c r="D66" s="8"/>
      <c r="E66" s="8"/>
      <c r="F66" s="8"/>
      <c r="G66" s="7"/>
      <c r="H66" s="90">
        <f>H23+H46+H54+H62</f>
        <v>-29500</v>
      </c>
      <c r="I66" s="90">
        <f t="shared" ref="I66" si="8">I23+I46+I54+I62</f>
        <v>-50250</v>
      </c>
      <c r="J66" s="90">
        <f>IF(J$65-$I$65&gt;=$H$69,0,(J23+J46+J54+J62))</f>
        <v>52130</v>
      </c>
      <c r="K66" s="90">
        <f>IF(K$65-$I$65&gt;=$H$69,0,(K23+K46+K54+K62))</f>
        <v>89505</v>
      </c>
      <c r="L66" s="90">
        <f t="shared" ref="L66:M66" si="9">IF(L$65-$I$65&gt;=$H$69,0,(L23+L46+L54+L62))</f>
        <v>94755</v>
      </c>
      <c r="M66" s="91">
        <f t="shared" si="9"/>
        <v>76355</v>
      </c>
      <c r="N66" s="27"/>
      <c r="O66" s="27"/>
      <c r="P66" s="1"/>
    </row>
    <row r="67" spans="1:27" ht="15.75" thickBot="1" x14ac:dyDescent="0.3">
      <c r="B67" s="15" t="s">
        <v>21</v>
      </c>
      <c r="C67" s="11" t="s">
        <v>63</v>
      </c>
      <c r="D67" s="11"/>
      <c r="E67" s="11"/>
      <c r="F67" s="11"/>
      <c r="G67" s="11"/>
      <c r="H67" s="88">
        <f>H66</f>
        <v>-29500</v>
      </c>
      <c r="I67" s="88">
        <f>IF(I$65-$I$65&gt;=$H$69,0,H67+I66)</f>
        <v>-79750</v>
      </c>
      <c r="J67" s="88">
        <f>IF(J$65-$I$65&gt;=$H$69,0,I67+J66)</f>
        <v>-27620</v>
      </c>
      <c r="K67" s="88">
        <f>IF(K$65-$I$65&gt;=$H$69,0,J67+K66)</f>
        <v>61885</v>
      </c>
      <c r="L67" s="88">
        <f>IF(L$65-$I$65&gt;=$H$69,0,K67+L66)</f>
        <v>156640</v>
      </c>
      <c r="M67" s="89">
        <f>IF(M$65-$I$65&gt;=$H$69,0,L67+M66)</f>
        <v>232995</v>
      </c>
      <c r="N67" s="27"/>
      <c r="O67" s="27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s="27" customFormat="1" ht="15.75" thickBot="1" x14ac:dyDescent="0.3">
      <c r="B68" s="52"/>
      <c r="C68" s="29"/>
      <c r="D68" s="29"/>
      <c r="E68" s="29"/>
      <c r="F68" s="29"/>
      <c r="G68" s="29"/>
      <c r="H68" s="26"/>
      <c r="I68" s="85">
        <f>IF(H67&gt;0,0,IF(I67&gt;0,12-12*I67/I66,12))</f>
        <v>12</v>
      </c>
      <c r="J68" s="85">
        <f>IF(I67&gt;=0,0,IF(J67&gt;0,12-12*J67/J66,12))</f>
        <v>12</v>
      </c>
      <c r="K68" s="85">
        <f>IF(J67&gt;=0,0,IF(K67&gt;0,12-12*K67/K66,12))</f>
        <v>3.7030333500921735</v>
      </c>
      <c r="L68" s="85">
        <f t="shared" ref="L68:N68" si="10">IF(K67&gt;=0,0,IF(L67&gt;0,12-12*L67/L66,12))</f>
        <v>0</v>
      </c>
      <c r="M68" s="85">
        <f t="shared" si="10"/>
        <v>0</v>
      </c>
      <c r="N68" s="85">
        <f t="shared" si="10"/>
        <v>0</v>
      </c>
      <c r="O68" s="30"/>
      <c r="P68" s="1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6.5" thickBot="1" x14ac:dyDescent="0.3">
      <c r="B69" s="16" t="s">
        <v>64</v>
      </c>
      <c r="C69" s="12"/>
      <c r="D69" s="12"/>
      <c r="E69" s="12"/>
      <c r="F69" s="12"/>
      <c r="G69" s="12"/>
      <c r="H69" s="62">
        <v>5</v>
      </c>
      <c r="I69" s="26"/>
      <c r="J69" s="26"/>
      <c r="K69" s="26"/>
      <c r="L69" s="26"/>
      <c r="M69" s="26"/>
      <c r="N69" s="27"/>
      <c r="O69" s="27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25">
      <c r="B70" s="72" t="s">
        <v>67</v>
      </c>
      <c r="C70" s="59"/>
      <c r="D70" s="59"/>
      <c r="E70" s="59"/>
      <c r="F70" s="59"/>
      <c r="G70" s="59"/>
      <c r="H70" s="78">
        <f>IF(SUM(H66:M66)&gt;=0,SUM(I68:M68),"n.a.")</f>
        <v>27.703033350092173</v>
      </c>
      <c r="I70" s="26"/>
      <c r="J70" s="26"/>
      <c r="K70" s="26"/>
      <c r="L70" s="26"/>
      <c r="M70" s="26"/>
      <c r="N70" s="27"/>
      <c r="O70" s="27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25">
      <c r="B71" s="21" t="s">
        <v>65</v>
      </c>
      <c r="C71" s="60"/>
      <c r="D71" s="60"/>
      <c r="E71" s="60"/>
      <c r="F71" s="60"/>
      <c r="G71" s="60"/>
      <c r="H71" s="63">
        <v>0.09</v>
      </c>
      <c r="I71" s="26"/>
      <c r="J71" s="26"/>
      <c r="K71" s="26"/>
      <c r="L71" s="26"/>
      <c r="M71" s="26"/>
      <c r="N71" s="27"/>
      <c r="O71" s="27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25">
      <c r="B72" s="21" t="s">
        <v>106</v>
      </c>
      <c r="C72" s="60"/>
      <c r="D72" s="61"/>
      <c r="E72" s="61"/>
      <c r="F72" s="61"/>
      <c r="G72" s="86"/>
      <c r="H72" s="93">
        <f>NPV(H71,I66:M66)+H66</f>
        <v>154142.48487595149</v>
      </c>
      <c r="I72" s="29"/>
      <c r="J72" s="70"/>
      <c r="K72" s="29"/>
      <c r="L72" s="26"/>
      <c r="M72" s="26"/>
      <c r="N72" s="27"/>
      <c r="O72" s="27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thickBot="1" x14ac:dyDescent="0.3">
      <c r="B73" s="73" t="s">
        <v>66</v>
      </c>
      <c r="C73" s="58"/>
      <c r="D73" s="58"/>
      <c r="E73" s="58"/>
      <c r="F73" s="58"/>
      <c r="G73" s="58"/>
      <c r="H73" s="79">
        <f>IF(ISNUMBER(IRR(H66:M66)),IRR(H66:M66),"n.a.")</f>
        <v>0.63019369271008285</v>
      </c>
      <c r="I73" s="29"/>
      <c r="J73" s="29"/>
      <c r="K73" s="29"/>
      <c r="L73" s="26"/>
      <c r="M73" s="26"/>
      <c r="N73" s="27"/>
      <c r="O73" s="27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thickBot="1" x14ac:dyDescent="0.3">
      <c r="B74" s="52"/>
      <c r="C74" s="29"/>
      <c r="D74" s="29"/>
      <c r="E74" s="29"/>
      <c r="F74" s="29"/>
      <c r="G74" s="29"/>
      <c r="H74" s="87"/>
      <c r="I74" s="29"/>
      <c r="J74" s="29"/>
      <c r="K74" s="29"/>
      <c r="L74" s="26"/>
      <c r="M74" s="26"/>
      <c r="N74" s="27"/>
      <c r="O74" s="27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x14ac:dyDescent="0.25">
      <c r="B75" s="16" t="s">
        <v>68</v>
      </c>
      <c r="C75" s="12"/>
      <c r="D75" s="12"/>
      <c r="E75" s="12"/>
      <c r="F75" s="12"/>
      <c r="G75" s="12"/>
      <c r="H75" s="13" t="s">
        <v>24</v>
      </c>
      <c r="I75" s="13" t="s">
        <v>25</v>
      </c>
      <c r="J75" s="13" t="s">
        <v>25</v>
      </c>
      <c r="K75" s="13" t="s">
        <v>25</v>
      </c>
      <c r="L75" s="13" t="s">
        <v>25</v>
      </c>
      <c r="M75" s="17" t="s">
        <v>25</v>
      </c>
      <c r="N75" s="27"/>
      <c r="O75" s="27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25">
      <c r="B76" s="18"/>
      <c r="C76" s="14"/>
      <c r="D76" s="14"/>
      <c r="E76" s="14"/>
      <c r="F76" s="14"/>
      <c r="G76" s="33"/>
      <c r="H76" s="34">
        <v>0</v>
      </c>
      <c r="I76" s="35">
        <v>1</v>
      </c>
      <c r="J76" s="35">
        <v>2</v>
      </c>
      <c r="K76" s="35">
        <v>3</v>
      </c>
      <c r="L76" s="35">
        <v>4</v>
      </c>
      <c r="M76" s="36">
        <v>5</v>
      </c>
      <c r="N76" s="27"/>
      <c r="O76" s="27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s="4" customFormat="1" x14ac:dyDescent="0.25">
      <c r="A77" s="28"/>
      <c r="B77" s="19" t="s">
        <v>22</v>
      </c>
      <c r="C77" s="8" t="s">
        <v>126</v>
      </c>
      <c r="D77" s="8"/>
      <c r="E77" s="8"/>
      <c r="F77" s="8"/>
      <c r="G77" s="7"/>
      <c r="H77" s="56">
        <f t="shared" ref="H77:M77" si="11">(1/POWER((1+$H$71),H65))*H66</f>
        <v>-29500</v>
      </c>
      <c r="I77" s="56">
        <f t="shared" si="11"/>
        <v>-46100.917431192654</v>
      </c>
      <c r="J77" s="56">
        <f t="shared" si="11"/>
        <v>43876.778048985769</v>
      </c>
      <c r="K77" s="56">
        <f t="shared" si="11"/>
        <v>69114.282382865553</v>
      </c>
      <c r="L77" s="56">
        <f t="shared" si="11"/>
        <v>67126.830874482679</v>
      </c>
      <c r="M77" s="57">
        <f t="shared" si="11"/>
        <v>49625.511000810147</v>
      </c>
      <c r="N77" s="27"/>
      <c r="O77" s="27"/>
      <c r="P77" s="1"/>
    </row>
    <row r="78" spans="1:27" s="4" customFormat="1" ht="15.75" thickBot="1" x14ac:dyDescent="0.3">
      <c r="A78" s="28"/>
      <c r="B78" s="64" t="s">
        <v>23</v>
      </c>
      <c r="C78" s="65" t="s">
        <v>70</v>
      </c>
      <c r="D78" s="65"/>
      <c r="E78" s="65"/>
      <c r="F78" s="65"/>
      <c r="G78" s="66"/>
      <c r="H78" s="67">
        <f>H77</f>
        <v>-29500</v>
      </c>
      <c r="I78" s="67">
        <f>H78+I77</f>
        <v>-75600.917431192647</v>
      </c>
      <c r="J78" s="67">
        <f>I78+J77</f>
        <v>-31724.139382206879</v>
      </c>
      <c r="K78" s="67">
        <f>J78+K77</f>
        <v>37390.143000658674</v>
      </c>
      <c r="L78" s="67">
        <f>K78+L77</f>
        <v>104516.97387514135</v>
      </c>
      <c r="M78" s="68">
        <f>L78+M77</f>
        <v>154142.48487595149</v>
      </c>
      <c r="N78" s="27"/>
      <c r="O78" s="27"/>
    </row>
    <row r="79" spans="1:27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27" x14ac:dyDescent="0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2:15" ht="33.950000000000003" customHeight="1" x14ac:dyDescent="0.25">
      <c r="B81" s="71" t="s">
        <v>51</v>
      </c>
      <c r="C81" s="104" t="s">
        <v>73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27"/>
      <c r="O81" s="27"/>
    </row>
    <row r="82" spans="2:15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2:15" x14ac:dyDescent="0.25">
      <c r="N83" s="27"/>
      <c r="O83" s="27"/>
    </row>
  </sheetData>
  <mergeCells count="1">
    <mergeCell ref="C81:M81"/>
  </mergeCells>
  <pageMargins left="0.25" right="0.25" top="0.75" bottom="0.75" header="0.3" footer="0.3"/>
  <pageSetup paperSize="8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8"/>
  <sheetViews>
    <sheetView zoomScale="50" zoomScaleNormal="50" workbookViewId="0">
      <selection activeCell="U69" sqref="U69"/>
    </sheetView>
  </sheetViews>
  <sheetFormatPr defaultColWidth="8.85546875" defaultRowHeight="15" x14ac:dyDescent="0.25"/>
  <cols>
    <col min="1" max="1" width="50.7109375" customWidth="1"/>
    <col min="2" max="2" width="13.7109375" customWidth="1"/>
    <col min="3" max="3" width="14.140625" customWidth="1"/>
  </cols>
  <sheetData>
    <row r="1" spans="1:22" ht="27" thickBot="1" x14ac:dyDescent="0.3">
      <c r="A1" s="101"/>
      <c r="B1" s="102" t="s">
        <v>128</v>
      </c>
      <c r="C1" s="102" t="s">
        <v>127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x14ac:dyDescent="0.25">
      <c r="A2" s="72" t="str">
        <f>'Baseline NPV'!B51</f>
        <v>Payback period (in months)</v>
      </c>
      <c r="B2" s="78">
        <f>'Baseline NPV'!H51</f>
        <v>38.702702702702702</v>
      </c>
      <c r="C2" s="78">
        <f>'NPV with M&amp;A components'!H70</f>
        <v>27.703033350092173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x14ac:dyDescent="0.25">
      <c r="A3" s="21" t="str">
        <f>'Baseline NPV'!B53</f>
        <v>Net Present Value when calculating with WACC</v>
      </c>
      <c r="B3" s="93">
        <f>'Baseline NPV'!H53</f>
        <v>36352.33650156916</v>
      </c>
      <c r="C3" s="93">
        <f>'NPV with M&amp;A components'!H72</f>
        <v>154142.48487595149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5.75" thickBot="1" x14ac:dyDescent="0.3">
      <c r="A4" s="73" t="str">
        <f>'Baseline NPV'!B54</f>
        <v>Internal Rate Of Return (IRR)</v>
      </c>
      <c r="B4" s="79">
        <f>'Baseline NPV'!H54</f>
        <v>0.24401103394297619</v>
      </c>
      <c r="C4" s="79">
        <f>'NPV with M&amp;A components'!H73</f>
        <v>0.63019369271008285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ht="15.75" thickBot="1" x14ac:dyDescent="0.3">
      <c r="A5" s="80"/>
      <c r="B5" s="94"/>
      <c r="C5" s="94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x14ac:dyDescent="0.25">
      <c r="A6" s="95" t="s">
        <v>128</v>
      </c>
      <c r="B6" s="13" t="s">
        <v>24</v>
      </c>
      <c r="C6" s="13" t="s">
        <v>25</v>
      </c>
      <c r="D6" s="13" t="s">
        <v>25</v>
      </c>
      <c r="E6" s="13" t="s">
        <v>25</v>
      </c>
      <c r="F6" s="13" t="s">
        <v>25</v>
      </c>
      <c r="G6" s="17" t="s">
        <v>25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22" x14ac:dyDescent="0.25">
      <c r="A7" s="100"/>
      <c r="B7" s="99">
        <v>0</v>
      </c>
      <c r="C7" s="35">
        <v>1</v>
      </c>
      <c r="D7" s="35">
        <f>C7+1</f>
        <v>2</v>
      </c>
      <c r="E7" s="35">
        <f>D7+1</f>
        <v>3</v>
      </c>
      <c r="F7" s="35">
        <f>E7+1</f>
        <v>4</v>
      </c>
      <c r="G7" s="36">
        <f>F7+1</f>
        <v>5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1:22" x14ac:dyDescent="0.25">
      <c r="A8" s="96" t="s">
        <v>129</v>
      </c>
      <c r="B8" s="90">
        <f>'Baseline NPV'!H47</f>
        <v>-29000</v>
      </c>
      <c r="C8" s="90">
        <f>'Baseline NPV'!I47</f>
        <v>-55000</v>
      </c>
      <c r="D8" s="90">
        <f>'Baseline NPV'!J47</f>
        <v>21000</v>
      </c>
      <c r="E8" s="90">
        <f>'Baseline NPV'!K47</f>
        <v>50500</v>
      </c>
      <c r="F8" s="90">
        <f>'Baseline NPV'!L47</f>
        <v>55500</v>
      </c>
      <c r="G8" s="91">
        <f>'Baseline NPV'!M47</f>
        <v>30500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x14ac:dyDescent="0.25">
      <c r="A9" s="96" t="s">
        <v>63</v>
      </c>
      <c r="B9" s="90">
        <f>'Baseline NPV'!H48</f>
        <v>-29000</v>
      </c>
      <c r="C9" s="90">
        <f>'Baseline NPV'!I48</f>
        <v>-84000</v>
      </c>
      <c r="D9" s="90">
        <f>'Baseline NPV'!J48</f>
        <v>-63000</v>
      </c>
      <c r="E9" s="90">
        <f>'Baseline NPV'!K48</f>
        <v>-12500</v>
      </c>
      <c r="F9" s="90">
        <f>'Baseline NPV'!L48</f>
        <v>43000</v>
      </c>
      <c r="G9" s="91">
        <f>'Baseline NPV'!M48</f>
        <v>73500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x14ac:dyDescent="0.25">
      <c r="A10" s="19" t="s">
        <v>130</v>
      </c>
      <c r="B10" s="90">
        <f>'Baseline NPV'!H58</f>
        <v>-29000</v>
      </c>
      <c r="C10" s="90">
        <f>'Baseline NPV'!I58</f>
        <v>-50458.715596330272</v>
      </c>
      <c r="D10" s="90">
        <f>'Baseline NPV'!J58</f>
        <v>17675.279858597758</v>
      </c>
      <c r="E10" s="90">
        <f>'Baseline NPV'!K58</f>
        <v>38995.265743083743</v>
      </c>
      <c r="F10" s="90">
        <f>'Baseline NPV'!L58</f>
        <v>39317.599214118403</v>
      </c>
      <c r="G10" s="91">
        <f>'Baseline NPV'!M58</f>
        <v>19822.907282099528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2" ht="15.75" thickBot="1" x14ac:dyDescent="0.3">
      <c r="A11" s="64" t="s">
        <v>70</v>
      </c>
      <c r="B11" s="97">
        <f>'Baseline NPV'!H59</f>
        <v>-29000</v>
      </c>
      <c r="C11" s="97">
        <f>'Baseline NPV'!I59</f>
        <v>-79458.715596330265</v>
      </c>
      <c r="D11" s="97">
        <f>'Baseline NPV'!J59</f>
        <v>-61783.435737732507</v>
      </c>
      <c r="E11" s="97">
        <f>'Baseline NPV'!K59</f>
        <v>-22788.169994648764</v>
      </c>
      <c r="F11" s="97">
        <f>'Baseline NPV'!L59</f>
        <v>16529.429219469639</v>
      </c>
      <c r="G11" s="98">
        <f>'Baseline NPV'!M59</f>
        <v>36352.336501569167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2" ht="15.75" thickBot="1" x14ac:dyDescent="0.3">
      <c r="A12" s="8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1:22" x14ac:dyDescent="0.25">
      <c r="A13" s="95" t="s">
        <v>127</v>
      </c>
      <c r="B13" s="13" t="s">
        <v>24</v>
      </c>
      <c r="C13" s="13" t="s">
        <v>25</v>
      </c>
      <c r="D13" s="13" t="s">
        <v>25</v>
      </c>
      <c r="E13" s="13" t="s">
        <v>25</v>
      </c>
      <c r="F13" s="13" t="s">
        <v>25</v>
      </c>
      <c r="G13" s="17" t="s">
        <v>25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1:22" x14ac:dyDescent="0.25">
      <c r="A14" s="100"/>
      <c r="B14" s="99">
        <v>0</v>
      </c>
      <c r="C14" s="35">
        <v>1</v>
      </c>
      <c r="D14" s="35">
        <f>C14+1</f>
        <v>2</v>
      </c>
      <c r="E14" s="35">
        <f>D14+1</f>
        <v>3</v>
      </c>
      <c r="F14" s="35">
        <f>E14+1</f>
        <v>4</v>
      </c>
      <c r="G14" s="36">
        <f>F14+1</f>
        <v>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x14ac:dyDescent="0.25">
      <c r="A15" s="96" t="s">
        <v>129</v>
      </c>
      <c r="B15" s="90">
        <f>'NPV with M&amp;A components'!H66</f>
        <v>-29500</v>
      </c>
      <c r="C15" s="90">
        <f>'NPV with M&amp;A components'!I66</f>
        <v>-50250</v>
      </c>
      <c r="D15" s="90">
        <f>'NPV with M&amp;A components'!J66</f>
        <v>52130</v>
      </c>
      <c r="E15" s="90">
        <f>'NPV with M&amp;A components'!K66</f>
        <v>89505</v>
      </c>
      <c r="F15" s="90">
        <f>'NPV with M&amp;A components'!L66</f>
        <v>94755</v>
      </c>
      <c r="G15" s="91">
        <f>'NPV with M&amp;A components'!M66</f>
        <v>76355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x14ac:dyDescent="0.25">
      <c r="A16" s="96" t="s">
        <v>63</v>
      </c>
      <c r="B16" s="90">
        <f>'NPV with M&amp;A components'!H67</f>
        <v>-29500</v>
      </c>
      <c r="C16" s="90">
        <f>'NPV with M&amp;A components'!I67</f>
        <v>-79750</v>
      </c>
      <c r="D16" s="90">
        <f>'NPV with M&amp;A components'!J67</f>
        <v>-27620</v>
      </c>
      <c r="E16" s="90">
        <f>'NPV with M&amp;A components'!K67</f>
        <v>61885</v>
      </c>
      <c r="F16" s="90">
        <f>'NPV with M&amp;A components'!L67</f>
        <v>156640</v>
      </c>
      <c r="G16" s="91">
        <f>'NPV with M&amp;A components'!M67</f>
        <v>232995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</row>
    <row r="17" spans="1:22" x14ac:dyDescent="0.25">
      <c r="A17" s="19" t="s">
        <v>130</v>
      </c>
      <c r="B17" s="90">
        <f>'NPV with M&amp;A components'!H77</f>
        <v>-29500</v>
      </c>
      <c r="C17" s="90">
        <f>'NPV with M&amp;A components'!I77</f>
        <v>-46100.917431192654</v>
      </c>
      <c r="D17" s="90">
        <f>'NPV with M&amp;A components'!J77</f>
        <v>43876.778048985769</v>
      </c>
      <c r="E17" s="90">
        <f>'NPV with M&amp;A components'!K77</f>
        <v>69114.282382865553</v>
      </c>
      <c r="F17" s="90">
        <f>'NPV with M&amp;A components'!L77</f>
        <v>67126.830874482679</v>
      </c>
      <c r="G17" s="91">
        <f>'NPV with M&amp;A components'!M77</f>
        <v>49625.511000810147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15.75" thickBot="1" x14ac:dyDescent="0.3">
      <c r="A18" s="64" t="s">
        <v>70</v>
      </c>
      <c r="B18" s="97">
        <f>'NPV with M&amp;A components'!H78</f>
        <v>-29500</v>
      </c>
      <c r="C18" s="97">
        <f>'NPV with M&amp;A components'!I78</f>
        <v>-75600.917431192647</v>
      </c>
      <c r="D18" s="97">
        <f>'NPV with M&amp;A components'!J78</f>
        <v>-31724.139382206879</v>
      </c>
      <c r="E18" s="97">
        <f>'NPV with M&amp;A components'!K78</f>
        <v>37390.143000658674</v>
      </c>
      <c r="F18" s="97">
        <f>'NPV with M&amp;A components'!L78</f>
        <v>104516.97387514135</v>
      </c>
      <c r="G18" s="98">
        <f>'NPV with M&amp;A components'!M78</f>
        <v>154142.48487595149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2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</row>
    <row r="20" spans="1:22" x14ac:dyDescent="0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</row>
    <row r="21" spans="1:22" x14ac:dyDescent="0.2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x14ac:dyDescent="0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x14ac:dyDescent="0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x14ac:dyDescent="0.2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</row>
    <row r="26" spans="1:22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2" x14ac:dyDescent="0.2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22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</row>
    <row r="30" spans="1:22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2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</row>
    <row r="33" spans="1:22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  <row r="34" spans="1:22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spans="1:22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</row>
    <row r="36" spans="1:22" x14ac:dyDescent="0.2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  <row r="37" spans="1:22" x14ac:dyDescent="0.2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</row>
    <row r="38" spans="1:22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1:22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spans="1:22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1:22" x14ac:dyDescent="0.2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22" x14ac:dyDescent="0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</row>
    <row r="43" spans="1:22" x14ac:dyDescent="0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</row>
    <row r="44" spans="1:22" x14ac:dyDescent="0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</row>
    <row r="45" spans="1:22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</row>
    <row r="46" spans="1:22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</row>
    <row r="47" spans="1:22" x14ac:dyDescent="0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</row>
    <row r="48" spans="1:22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</row>
    <row r="50" spans="1:22" x14ac:dyDescent="0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</row>
    <row r="51" spans="1:22" x14ac:dyDescent="0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</row>
    <row r="52" spans="1:22" x14ac:dyDescent="0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1:22" x14ac:dyDescent="0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spans="1:22" x14ac:dyDescent="0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  <row r="55" spans="1:22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</row>
    <row r="56" spans="1:22" x14ac:dyDescent="0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1:22" x14ac:dyDescent="0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</row>
    <row r="58" spans="1:22" x14ac:dyDescent="0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</row>
    <row r="59" spans="1:22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1:22" x14ac:dyDescent="0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1:22" x14ac:dyDescent="0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</row>
    <row r="62" spans="1:22" x14ac:dyDescent="0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1:22" x14ac:dyDescent="0.2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1:22" x14ac:dyDescent="0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</row>
    <row r="65" spans="1:22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</row>
    <row r="66" spans="1:22" x14ac:dyDescent="0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</row>
    <row r="67" spans="1:22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spans="1:22" x14ac:dyDescent="0.2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</row>
  </sheetData>
  <pageMargins left="0.25" right="0.25" top="0.75" bottom="0.75" header="0.3" footer="0.3"/>
  <pageSetup paperSize="8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Baseline NPV</vt:lpstr>
      <vt:lpstr>NPV with M&amp;A components</vt:lpstr>
      <vt:lpstr>Graphs</vt:lpstr>
      <vt:lpstr>'Baseline NPV'!Print_Area</vt:lpstr>
      <vt:lpstr>Graphs!Print_Area</vt:lpstr>
      <vt:lpstr>'NPV with M&amp;A components'!Print_Area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outsourcingNVP calculation</dc:title>
  <dc:subject/>
  <dc:creator>Zielemans, François</dc:creator>
  <cp:keywords/>
  <dc:description>This work is licensed under the Creative Commons Attribution-Share Alike 3.0 Unported Licence</dc:description>
  <cp:lastModifiedBy>Steve Buda</cp:lastModifiedBy>
  <cp:lastPrinted>2017-12-12T10:36:18Z</cp:lastPrinted>
  <dcterms:created xsi:type="dcterms:W3CDTF">2017-12-06T15:08:54Z</dcterms:created>
  <dcterms:modified xsi:type="dcterms:W3CDTF">2018-11-09T19:58:21Z</dcterms:modified>
  <cp:category/>
</cp:coreProperties>
</file>